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340" yWindow="15" windowWidth="20730" windowHeight="11760" tabRatio="500" firstSheet="1" activeTab="4"/>
  </bookViews>
  <sheets>
    <sheet name="READ THIS FIRST" sheetId="2" r:id="rId1"/>
    <sheet name="IS-BS Model" sheetId="3" r:id="rId2"/>
    <sheet name="Flow Diagram" sheetId="4" r:id="rId3"/>
    <sheet name="WK4 LTAC ANALYSIS" sheetId="5" r:id="rId4"/>
    <sheet name="Debt vs Equity Financing" sheetId="1" r:id="rId5"/>
  </sheets>
  <externalReferences>
    <externalReference r:id="rId6"/>
    <externalReference r:id="rId7"/>
    <externalReference r:id="rId8"/>
  </externalReferences>
  <definedNames>
    <definedName name="ANNFV" localSheetId="4">#REF!</definedName>
    <definedName name="ANNFV" localSheetId="1">#REF!</definedName>
    <definedName name="ANNFV" localSheetId="3">#REF!</definedName>
    <definedName name="ANNFV">#REF!</definedName>
    <definedName name="ANNPV" localSheetId="4">#REF!</definedName>
    <definedName name="ANNPV" localSheetId="1">#REF!</definedName>
    <definedName name="ANNPV">#REF!</definedName>
    <definedName name="AUTOMATE" localSheetId="4">#REF!</definedName>
    <definedName name="AUTOMATE" localSheetId="1">#REF!</definedName>
    <definedName name="AUTOMATE">#REF!</definedName>
    <definedName name="B_Corp">#REF!</definedName>
    <definedName name="BB_Corp">#REF!</definedName>
    <definedName name="BBB_Corp">#REF!</definedName>
    <definedName name="Beds">#REF!</definedName>
    <definedName name="For_Profit_Billing_per_Day">'[1]Big Ex'!$E$4</definedName>
    <definedName name="For_Profit_Insur_Cases">'[1]Big Ex'!#REF!</definedName>
    <definedName name="For_Profit_Rev_Inc">'[1]Big Ex'!$E$5</definedName>
    <definedName name="FVLUMP">#N/A</definedName>
    <definedName name="MRP">'[2]Bonds and US Treasuries '!$F$4</definedName>
    <definedName name="no">'[1]Big Ex'!#REF!</definedName>
    <definedName name="NO_Name">'[1]Big Ex'!#REF!</definedName>
    <definedName name="NvsASD">"V2002-06-30"</definedName>
    <definedName name="NvsAutoDrillOk">"VN"</definedName>
    <definedName name="NvsElapsedTime">0.000181828705535736</definedName>
    <definedName name="NvsEndTime">37470.6739789352</definedName>
    <definedName name="NvsInstSpec">"%,FDEPTID,V2822"</definedName>
    <definedName name="NvsLayoutType">"M3"</definedName>
    <definedName name="NvsPanelEffdt">"V2001-07-31"</definedName>
    <definedName name="NvsPanelSetid">"VHSC"</definedName>
    <definedName name="NvsReqBU">"VMC"</definedName>
    <definedName name="NvsReqBUOnly">"VY"</definedName>
    <definedName name="NvsTransLed">"VN"</definedName>
    <definedName name="NvsTreeASD">"V2002-06-30"</definedName>
    <definedName name="overhead">#REF!</definedName>
    <definedName name="PVLUMP">#N/A</definedName>
    <definedName name="Rf_10yr">#REF!</definedName>
    <definedName name="Riskfree">'[3]WACC of Comparables (TN1)'!$D$3</definedName>
    <definedName name="TaxRate">'[3]WACC of Comparables (TN1)'!$D$4</definedName>
    <definedName name="Utilization_Increase">#REF!</definedName>
    <definedName name="Utilization_Yr1">#REF!</definedName>
    <definedName name="Utilization_Yr2">#REF!</definedName>
    <definedName name="WACC">'[1]Big Ex'!$C$10</definedName>
    <definedName name="xxx" localSheetId="4">#REF!</definedName>
    <definedName name="xxx" localSheetId="1">#REF!</definedName>
    <definedName name="xxx" localSheetId="3">#REF!</definedName>
    <definedName name="xxx">#REF!</definedName>
    <definedName name="xxxxxx" localSheetId="4">#REF!</definedName>
    <definedName name="xxxxxx" localSheetId="1">#REF!</definedName>
    <definedName name="xxx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5"/>
  <c r="E69"/>
  <c r="E71"/>
  <c r="F14"/>
  <c r="F15"/>
  <c r="F16"/>
  <c r="F19"/>
  <c r="F24"/>
  <c r="F32"/>
  <c r="F25"/>
  <c r="F33"/>
  <c r="F34"/>
  <c r="C27"/>
  <c r="F27"/>
  <c r="F35"/>
  <c r="F28"/>
  <c r="F36"/>
  <c r="F37"/>
  <c r="F17"/>
  <c r="F21"/>
  <c r="F42"/>
  <c r="F38"/>
  <c r="F39"/>
  <c r="F43"/>
  <c r="F44"/>
  <c r="F46"/>
  <c r="F47"/>
  <c r="F48"/>
  <c r="F49"/>
  <c r="F54"/>
  <c r="F56"/>
  <c r="F67"/>
  <c r="F68"/>
  <c r="F69"/>
  <c r="F60"/>
  <c r="F61"/>
  <c r="F62"/>
  <c r="F63"/>
  <c r="F64"/>
  <c r="F70"/>
  <c r="F71"/>
  <c r="G14"/>
  <c r="G15"/>
  <c r="G16"/>
  <c r="G19"/>
  <c r="G24"/>
  <c r="G32"/>
  <c r="G25"/>
  <c r="G33"/>
  <c r="G34"/>
  <c r="G27"/>
  <c r="G35"/>
  <c r="G28"/>
  <c r="G36"/>
  <c r="G37"/>
  <c r="G17"/>
  <c r="G21"/>
  <c r="G42"/>
  <c r="G38"/>
  <c r="G39"/>
  <c r="G43"/>
  <c r="G44"/>
  <c r="G46"/>
  <c r="G47"/>
  <c r="G48"/>
  <c r="G49"/>
  <c r="G54"/>
  <c r="G56"/>
  <c r="G67"/>
  <c r="G68"/>
  <c r="G60"/>
  <c r="G61"/>
  <c r="G62"/>
  <c r="G63"/>
  <c r="G64"/>
  <c r="G70"/>
  <c r="G71"/>
  <c r="H14"/>
  <c r="H15"/>
  <c r="H16"/>
  <c r="H19"/>
  <c r="H24"/>
  <c r="H32"/>
  <c r="H25"/>
  <c r="H33"/>
  <c r="H34"/>
  <c r="H27"/>
  <c r="H35"/>
  <c r="H28"/>
  <c r="H36"/>
  <c r="H37"/>
  <c r="H17"/>
  <c r="H21"/>
  <c r="H42"/>
  <c r="H38"/>
  <c r="H39"/>
  <c r="H43"/>
  <c r="H44"/>
  <c r="H46"/>
  <c r="H47"/>
  <c r="H48"/>
  <c r="H49"/>
  <c r="H54"/>
  <c r="H56"/>
  <c r="H67"/>
  <c r="H68"/>
  <c r="H69"/>
  <c r="H60"/>
  <c r="H61"/>
  <c r="H62"/>
  <c r="H63"/>
  <c r="H64"/>
  <c r="H70"/>
  <c r="H71"/>
  <c r="I14"/>
  <c r="I15"/>
  <c r="I16"/>
  <c r="I19"/>
  <c r="I24"/>
  <c r="I32"/>
  <c r="I25"/>
  <c r="I33"/>
  <c r="I34"/>
  <c r="I27"/>
  <c r="I35"/>
  <c r="I28"/>
  <c r="I36"/>
  <c r="I37"/>
  <c r="I17"/>
  <c r="I21"/>
  <c r="I42"/>
  <c r="I38"/>
  <c r="I39"/>
  <c r="I43"/>
  <c r="I44"/>
  <c r="I46"/>
  <c r="I47"/>
  <c r="I48"/>
  <c r="I49"/>
  <c r="I54"/>
  <c r="I56"/>
  <c r="I67"/>
  <c r="I68"/>
  <c r="I69"/>
  <c r="I60"/>
  <c r="I61"/>
  <c r="I62"/>
  <c r="I63"/>
  <c r="I64"/>
  <c r="I70"/>
  <c r="I71"/>
  <c r="J14"/>
  <c r="J15"/>
  <c r="J16"/>
  <c r="J19"/>
  <c r="J24"/>
  <c r="J32"/>
  <c r="J25"/>
  <c r="J33"/>
  <c r="J34"/>
  <c r="J27"/>
  <c r="J35"/>
  <c r="J28"/>
  <c r="J36"/>
  <c r="J37"/>
  <c r="J17"/>
  <c r="J21"/>
  <c r="J42"/>
  <c r="J38"/>
  <c r="J39"/>
  <c r="J43"/>
  <c r="J44"/>
  <c r="J46"/>
  <c r="J47"/>
  <c r="J48"/>
  <c r="J49"/>
  <c r="J54"/>
  <c r="J56"/>
  <c r="J67"/>
  <c r="J68"/>
  <c r="J69"/>
  <c r="J60"/>
  <c r="J61"/>
  <c r="J62"/>
  <c r="J63"/>
  <c r="J64"/>
  <c r="J70"/>
  <c r="J71"/>
  <c r="K14"/>
  <c r="K15"/>
  <c r="K16"/>
  <c r="K19"/>
  <c r="K24"/>
  <c r="K32"/>
  <c r="K25"/>
  <c r="K33"/>
  <c r="K34"/>
  <c r="K27"/>
  <c r="K35"/>
  <c r="K28"/>
  <c r="K36"/>
  <c r="K37"/>
  <c r="K17"/>
  <c r="K21"/>
  <c r="K42"/>
  <c r="K38"/>
  <c r="K39"/>
  <c r="K43"/>
  <c r="K44"/>
  <c r="K46"/>
  <c r="K47"/>
  <c r="K48"/>
  <c r="K49"/>
  <c r="K54"/>
  <c r="K56"/>
  <c r="K67"/>
  <c r="K68"/>
  <c r="K69"/>
  <c r="K60"/>
  <c r="K61"/>
  <c r="K62"/>
  <c r="K63"/>
  <c r="K64"/>
  <c r="K70"/>
  <c r="K71"/>
  <c r="L14"/>
  <c r="L15"/>
  <c r="L16"/>
  <c r="L19"/>
  <c r="L24"/>
  <c r="L32"/>
  <c r="L25"/>
  <c r="L33"/>
  <c r="L34"/>
  <c r="L27"/>
  <c r="L35"/>
  <c r="L28"/>
  <c r="L36"/>
  <c r="L37"/>
  <c r="L17"/>
  <c r="L21"/>
  <c r="L42"/>
  <c r="L38"/>
  <c r="L39"/>
  <c r="L43"/>
  <c r="L44"/>
  <c r="L46"/>
  <c r="L47"/>
  <c r="L48"/>
  <c r="L49"/>
  <c r="L54"/>
  <c r="L56"/>
  <c r="L67"/>
  <c r="L68"/>
  <c r="L69"/>
  <c r="L60"/>
  <c r="L61"/>
  <c r="L62"/>
  <c r="L63"/>
  <c r="L64"/>
  <c r="L70"/>
  <c r="L71"/>
  <c r="M14"/>
  <c r="M15"/>
  <c r="M16"/>
  <c r="M19"/>
  <c r="M24"/>
  <c r="M32"/>
  <c r="M25"/>
  <c r="M33"/>
  <c r="M34"/>
  <c r="M27"/>
  <c r="M35"/>
  <c r="M28"/>
  <c r="M36"/>
  <c r="M37"/>
  <c r="M17"/>
  <c r="M21"/>
  <c r="M42"/>
  <c r="M38"/>
  <c r="M39"/>
  <c r="M43"/>
  <c r="M44"/>
  <c r="M46"/>
  <c r="M47"/>
  <c r="M48"/>
  <c r="M49"/>
  <c r="M54"/>
  <c r="M56"/>
  <c r="M67"/>
  <c r="M68"/>
  <c r="M69"/>
  <c r="M60"/>
  <c r="M61"/>
  <c r="M62"/>
  <c r="M63"/>
  <c r="M64"/>
  <c r="M70"/>
  <c r="M71"/>
  <c r="N14"/>
  <c r="N15"/>
  <c r="N16"/>
  <c r="N19"/>
  <c r="N24"/>
  <c r="N32"/>
  <c r="N25"/>
  <c r="N33"/>
  <c r="N34"/>
  <c r="N27"/>
  <c r="N35"/>
  <c r="N28"/>
  <c r="N36"/>
  <c r="N37"/>
  <c r="N17"/>
  <c r="N21"/>
  <c r="N42"/>
  <c r="N38"/>
  <c r="N39"/>
  <c r="N43"/>
  <c r="N44"/>
  <c r="N46"/>
  <c r="N47"/>
  <c r="N48"/>
  <c r="N49"/>
  <c r="N54"/>
  <c r="N56"/>
  <c r="N67"/>
  <c r="N68"/>
  <c r="N69"/>
  <c r="N60"/>
  <c r="N61"/>
  <c r="N62"/>
  <c r="N63"/>
  <c r="N64"/>
  <c r="N70"/>
  <c r="N71"/>
  <c r="O14"/>
  <c r="O15"/>
  <c r="O16"/>
  <c r="O19"/>
  <c r="O24"/>
  <c r="O32"/>
  <c r="O25"/>
  <c r="O33"/>
  <c r="O34"/>
  <c r="O27"/>
  <c r="O35"/>
  <c r="O28"/>
  <c r="O36"/>
  <c r="O37"/>
  <c r="O17"/>
  <c r="O21"/>
  <c r="O42"/>
  <c r="O38"/>
  <c r="O39"/>
  <c r="O43"/>
  <c r="O44"/>
  <c r="O46"/>
  <c r="O47"/>
  <c r="O48"/>
  <c r="O49"/>
  <c r="O54"/>
  <c r="O56"/>
  <c r="O67"/>
  <c r="O68"/>
  <c r="O69"/>
  <c r="O60"/>
  <c r="O61"/>
  <c r="O62"/>
  <c r="O63"/>
  <c r="O64"/>
  <c r="O70"/>
  <c r="O71"/>
  <c r="C74"/>
  <c r="D107"/>
  <c r="C73"/>
  <c r="C107"/>
  <c r="E80"/>
  <c r="F80"/>
  <c r="G80"/>
  <c r="H80"/>
  <c r="I80"/>
  <c r="J80"/>
  <c r="K80"/>
  <c r="L80"/>
  <c r="M80"/>
  <c r="N80"/>
  <c r="O77"/>
  <c r="O78"/>
  <c r="O80"/>
  <c r="C81"/>
  <c r="D106"/>
  <c r="C80"/>
  <c r="C106"/>
  <c r="O83"/>
  <c r="O84"/>
  <c r="N83"/>
  <c r="N84"/>
  <c r="M83"/>
  <c r="M84"/>
  <c r="L83"/>
  <c r="L84"/>
  <c r="K83"/>
  <c r="K84"/>
  <c r="J83"/>
  <c r="J84"/>
  <c r="I83"/>
  <c r="I84"/>
  <c r="H83"/>
  <c r="H84"/>
  <c r="G83"/>
  <c r="G84"/>
  <c r="F83"/>
  <c r="F84"/>
  <c r="D83"/>
  <c r="D73"/>
  <c r="C71"/>
  <c r="B67"/>
  <c r="O57"/>
  <c r="N57"/>
  <c r="M57"/>
  <c r="L57"/>
  <c r="K57"/>
  <c r="J57"/>
  <c r="I57"/>
  <c r="H57"/>
  <c r="G57"/>
  <c r="F57"/>
  <c r="C49"/>
  <c r="C39"/>
  <c r="O26"/>
  <c r="O29"/>
  <c r="N26"/>
  <c r="N29"/>
  <c r="M26"/>
  <c r="M29"/>
  <c r="L26"/>
  <c r="L29"/>
  <c r="K26"/>
  <c r="K29"/>
  <c r="J26"/>
  <c r="J29"/>
  <c r="I26"/>
  <c r="I29"/>
  <c r="H26"/>
  <c r="H29"/>
  <c r="G26"/>
  <c r="G29"/>
  <c r="F26"/>
  <c r="F29"/>
  <c r="H6"/>
  <c r="F6"/>
  <c r="H5"/>
  <c r="F5"/>
  <c r="B52" i="1"/>
  <c r="B51"/>
  <c r="B22"/>
  <c r="D22"/>
  <c r="D23"/>
  <c r="C50"/>
  <c r="C52"/>
  <c r="C51"/>
  <c r="B50"/>
  <c r="B54"/>
  <c r="C54"/>
  <c r="B16"/>
  <c r="C16"/>
  <c r="D16"/>
  <c r="E16"/>
  <c r="B17"/>
  <c r="C17"/>
  <c r="D17"/>
  <c r="E17"/>
  <c r="B18"/>
  <c r="C18"/>
  <c r="B19"/>
  <c r="C19"/>
  <c r="D19"/>
  <c r="E19"/>
  <c r="B20"/>
  <c r="C20"/>
  <c r="D20"/>
  <c r="E20"/>
  <c r="B21"/>
  <c r="C21"/>
  <c r="D21"/>
  <c r="E21"/>
  <c r="C22"/>
  <c r="E22"/>
  <c r="E23"/>
  <c r="B24"/>
  <c r="C24"/>
  <c r="D24"/>
  <c r="E24"/>
  <c r="B25"/>
  <c r="C25"/>
  <c r="D25"/>
  <c r="E25"/>
  <c r="C43"/>
  <c r="D43"/>
  <c r="C44"/>
  <c r="D44"/>
  <c r="C45"/>
  <c r="D45"/>
  <c r="B55"/>
  <c r="C55"/>
  <c r="B56"/>
  <c r="C56"/>
  <c r="B57"/>
  <c r="C57"/>
  <c r="B58"/>
  <c r="C58"/>
  <c r="B59"/>
  <c r="C59"/>
  <c r="B64"/>
  <c r="C64"/>
  <c r="D64"/>
  <c r="B66"/>
  <c r="C66"/>
  <c r="D66"/>
  <c r="B67"/>
  <c r="C67"/>
  <c r="D67"/>
  <c r="B68"/>
  <c r="C68"/>
  <c r="D68"/>
  <c r="B69"/>
  <c r="C69"/>
  <c r="D69"/>
  <c r="B70"/>
  <c r="C70"/>
  <c r="D70"/>
</calcChain>
</file>

<file path=xl/sharedStrings.xml><?xml version="1.0" encoding="utf-8"?>
<sst xmlns="http://schemas.openxmlformats.org/spreadsheetml/2006/main" count="441" uniqueCount="361">
  <si>
    <t>Explain how the EBIT Chart works (inputs determining the outputs-the two lines on the chart</t>
    <phoneticPr fontId="16" type="noConversion"/>
  </si>
  <si>
    <t>Explain the meaning of the debt capacity calculation at row 62.</t>
    <phoneticPr fontId="16" type="noConversion"/>
  </si>
  <si>
    <t>Frame your answer using the FRICTO framework, p 119 in the Cohen Finance Workbook, citing specifics from the analysis.</t>
    <phoneticPr fontId="16" type="noConversion"/>
  </si>
  <si>
    <t xml:space="preserve"> </t>
    <phoneticPr fontId="16" type="noConversion"/>
  </si>
  <si>
    <t>Read Cohen Finance Workbook Chapter 7 through top half of page 121.</t>
    <phoneticPr fontId="16" type="noConversion"/>
  </si>
  <si>
    <t>Income Tax Rate</t>
  </si>
  <si>
    <t>arbitrarily below pessimistic forecast</t>
  </si>
  <si>
    <t>Bust EBIT</t>
  </si>
  <si>
    <t>arbitrarily above optimistic forecast</t>
  </si>
  <si>
    <t>Boom EBIT</t>
  </si>
  <si>
    <t xml:space="preserve">Interest Rate on New Debt </t>
  </si>
  <si>
    <t>Interest Rate on Existing Debt</t>
  </si>
  <si>
    <t xml:space="preserve">Existing Long-Term Debt </t>
  </si>
  <si>
    <t xml:space="preserve">Existing Common Shares </t>
  </si>
  <si>
    <t>External Financing Needed</t>
  </si>
  <si>
    <t>Inputs:</t>
  </si>
  <si>
    <t>FINANCING (DEBT-EQUITY) DECISION</t>
  </si>
  <si>
    <t>Q3-Explain the meaning of the debt capacity calculation at row 62.</t>
  </si>
  <si>
    <t>INCOME STATEMENT</t>
  </si>
  <si>
    <t xml:space="preserve">                                       BALANCE SHEET</t>
  </si>
  <si>
    <t xml:space="preserve">WORKING CAPITAL </t>
  </si>
  <si>
    <t>Revenue</t>
  </si>
  <si>
    <t>ASSETS</t>
  </si>
  <si>
    <t>LIABILITIES AND EQUITY</t>
  </si>
  <si>
    <t xml:space="preserve">   spontaneous change with revenue</t>
  </si>
  <si>
    <t>Cost of sales</t>
  </si>
  <si>
    <t>Current assets</t>
  </si>
  <si>
    <t>Current liabilities</t>
  </si>
  <si>
    <t xml:space="preserve">   ?what levels of ca, cl, s-t loans?</t>
  </si>
  <si>
    <t>Group work is encouraged…but…when you write your answers in this template, the work must be your own independent work.</t>
    <phoneticPr fontId="16" type="noConversion"/>
  </si>
  <si>
    <t>Q1-Explain how the EBIT Chart works (inputs determining the outputs-the two lines on the chart</t>
    <phoneticPr fontId="16" type="noConversion"/>
  </si>
  <si>
    <t>FINANCIAL LEVERAGE</t>
  </si>
  <si>
    <t>Retained earnings</t>
    <phoneticPr fontId="0" type="noConversion"/>
  </si>
  <si>
    <t>VALUATION</t>
  </si>
  <si>
    <t xml:space="preserve">CASH FLOW   </t>
  </si>
  <si>
    <t xml:space="preserve">   Total assets</t>
  </si>
  <si>
    <t xml:space="preserve">   Total liabilities &amp; equity</t>
  </si>
  <si>
    <t>COST OF CAPITAL</t>
  </si>
  <si>
    <t>ANALYSIS STEPS:</t>
  </si>
  <si>
    <t>DEBT  EQUITY</t>
  </si>
  <si>
    <t>1-HISTORICAL RATIOS</t>
  </si>
  <si>
    <t>DEBT</t>
  </si>
  <si>
    <t>2-K-WACC</t>
  </si>
  <si>
    <t>HISTORICAL RATIOS</t>
  </si>
  <si>
    <t>I/S &amp; B/S FORECAST</t>
  </si>
  <si>
    <t>EFN</t>
  </si>
  <si>
    <t>3-CAPITAL BUDGETING</t>
  </si>
  <si>
    <r>
      <t>4-FORECAST &amp;</t>
    </r>
    <r>
      <rPr>
        <sz val="8"/>
        <color indexed="10"/>
        <rFont val="Arial"/>
        <family val="2"/>
      </rPr>
      <t xml:space="preserve"> EFN</t>
    </r>
  </si>
  <si>
    <t>LONG-FORM FORECAST</t>
  </si>
  <si>
    <t>I/S, B/S, &amp; RATIOS</t>
  </si>
  <si>
    <t>EQUITY</t>
  </si>
  <si>
    <t>5-EQUITY VALUATION</t>
  </si>
  <si>
    <t>EBIT CHART</t>
  </si>
  <si>
    <t>6-FINANCING</t>
  </si>
  <si>
    <t>income</t>
  </si>
  <si>
    <t>risk</t>
  </si>
  <si>
    <t>control</t>
  </si>
  <si>
    <t>mktblty</t>
  </si>
  <si>
    <t>flexblty</t>
  </si>
  <si>
    <t>timing</t>
  </si>
  <si>
    <t>OP &amp; CAP NATCF, NPV, IRR, PAYBACK</t>
  </si>
  <si>
    <t>K-WACC</t>
  </si>
  <si>
    <t>ENTERPRISE VALUE USING FREE CASH FLOW</t>
  </si>
  <si>
    <t>MARKET MULTIPLES: P/E, MV/BV, REV, EBIT</t>
  </si>
  <si>
    <t xml:space="preserve"> </t>
    <phoneticPr fontId="0" type="noConversion"/>
  </si>
  <si>
    <t>Learning Objectives</t>
    <phoneticPr fontId="0" type="noConversion"/>
  </si>
  <si>
    <t>Learn the debt versus equity analysis as depicted in the Flow Diagram</t>
  </si>
  <si>
    <t>Interpret an EBIT chart highlighting the indifference level of EBIT</t>
  </si>
  <si>
    <t xml:space="preserve"> </t>
  </si>
  <si>
    <t>EXCESS DEBT CAPACITY</t>
  </si>
  <si>
    <t>Debt ratio - approximate</t>
  </si>
  <si>
    <t>Existing debt</t>
  </si>
  <si>
    <t>Interest coverage ratio</t>
  </si>
  <si>
    <t>DEBT CAPACITY</t>
  </si>
  <si>
    <t>CCC</t>
  </si>
  <si>
    <t>B</t>
  </si>
  <si>
    <t>BB</t>
  </si>
  <si>
    <t>BBB</t>
  </si>
  <si>
    <t>A</t>
  </si>
  <si>
    <t>AA</t>
  </si>
  <si>
    <t>AAA</t>
  </si>
  <si>
    <t>Credit rating</t>
  </si>
  <si>
    <t>Interest rate</t>
  </si>
  <si>
    <t>AVAILABLE FOR INTEREST</t>
  </si>
  <si>
    <t>Interest coverage ratio per rating</t>
  </si>
  <si>
    <t>EBIT</t>
  </si>
  <si>
    <t>Indiff.</t>
  </si>
  <si>
    <t>Boom</t>
  </si>
  <si>
    <t>Bust</t>
  </si>
  <si>
    <t>Debt capacity calculation:</t>
  </si>
  <si>
    <t>Indifference EPS</t>
  </si>
  <si>
    <t>EPS</t>
  </si>
  <si>
    <t>EAT</t>
  </si>
  <si>
    <t>Income tax</t>
  </si>
  <si>
    <t>EBT</t>
  </si>
  <si>
    <t>Interest expense</t>
  </si>
  <si>
    <t>Indifference EBIT</t>
  </si>
  <si>
    <t>Income tax rate</t>
  </si>
  <si>
    <t>Common shares</t>
  </si>
  <si>
    <t>Equity</t>
  </si>
  <si>
    <t>Debt</t>
  </si>
  <si>
    <t>Indifference point calculation:</t>
  </si>
  <si>
    <t>equity EPS</t>
  </si>
  <si>
    <t>debt EPS</t>
  </si>
  <si>
    <t>Coverage ratio</t>
  </si>
  <si>
    <t>Earnings per share</t>
  </si>
  <si>
    <t>Shares - new</t>
  </si>
  <si>
    <t>Shares</t>
  </si>
  <si>
    <t>Net profit</t>
  </si>
  <si>
    <t>Profit before tax</t>
  </si>
  <si>
    <t>Interest expense - new</t>
  </si>
  <si>
    <t>Interest expense - old</t>
  </si>
  <si>
    <t>BUST</t>
  </si>
  <si>
    <t>BOOM</t>
  </si>
  <si>
    <t xml:space="preserve">  IF EQUITY IS USED</t>
  </si>
  <si>
    <t xml:space="preserve">   IF DEBT IS USED</t>
  </si>
  <si>
    <t>Results:</t>
  </si>
  <si>
    <t xml:space="preserve">Equity </t>
  </si>
  <si>
    <t>Share Price</t>
  </si>
  <si>
    <t>and the indifference point) in YOUR OWN WORDS.</t>
  </si>
  <si>
    <t>indifference EBIT - in your opinion, will future EBIT be lower than or higher than indifference EBIT?</t>
  </si>
  <si>
    <t>Gross profit</t>
  </si>
  <si>
    <t xml:space="preserve">Cash </t>
  </si>
  <si>
    <t>Trade payables</t>
  </si>
  <si>
    <t>CAPITAL BUDGETING</t>
  </si>
  <si>
    <t>Other operating income</t>
  </si>
  <si>
    <t>Investments</t>
  </si>
  <si>
    <t>Other accruals</t>
  </si>
  <si>
    <t xml:space="preserve">   ?what projects to accept?</t>
  </si>
  <si>
    <t>Other operating expenses</t>
  </si>
  <si>
    <t>Trade receivables</t>
  </si>
  <si>
    <t>Tax liabilities</t>
  </si>
  <si>
    <t>FINANCING</t>
  </si>
  <si>
    <t xml:space="preserve">   Total cost and expenses</t>
  </si>
  <si>
    <t>Inventories</t>
  </si>
  <si>
    <t>Short-term loans, leases</t>
  </si>
  <si>
    <t xml:space="preserve">  ?what is the debt capacity?</t>
  </si>
  <si>
    <t>Operating profit (EBIT)</t>
  </si>
  <si>
    <t>Non-current assets</t>
  </si>
  <si>
    <t>Non-current liabilities</t>
  </si>
  <si>
    <t>Interest, finance costs</t>
    <phoneticPr fontId="0" type="noConversion"/>
  </si>
  <si>
    <t>Property, plant &amp; equipment</t>
  </si>
  <si>
    <t>Loans, debt, leases due after 1 year</t>
  </si>
  <si>
    <t>Investment property</t>
  </si>
  <si>
    <t>Retirement benefit obligation</t>
  </si>
  <si>
    <t>COST OF DEBT</t>
  </si>
  <si>
    <t>Goodwill</t>
  </si>
  <si>
    <t>Deferred tax liabilities</t>
  </si>
  <si>
    <t>Net profit after tax</t>
  </si>
  <si>
    <t xml:space="preserve">   Total non-current liabilities</t>
  </si>
  <si>
    <t>Dividends</t>
  </si>
  <si>
    <t xml:space="preserve">                          K-WACC</t>
  </si>
  <si>
    <t>Reinvested in the business</t>
  </si>
  <si>
    <t>Stockholder's equity (Net worth)</t>
    <phoneticPr fontId="0" type="noConversion"/>
  </si>
  <si>
    <t>Preferred stock</t>
    <phoneticPr fontId="0" type="noConversion"/>
  </si>
  <si>
    <t>OPERATING LEVERAGE</t>
  </si>
  <si>
    <t>Common stock</t>
    <phoneticPr fontId="0" type="noConversion"/>
  </si>
  <si>
    <t>COST OF EQUITY</t>
  </si>
  <si>
    <t>Additional paid-in-capital</t>
    <phoneticPr fontId="0" type="noConversion"/>
  </si>
  <si>
    <t>Interpret the debt capacity analysis</t>
  </si>
  <si>
    <t>Consider the numerous, sometimes conflicting elements in the financing</t>
  </si>
  <si>
    <t>decision as summarized by the FRICTO acronym – income, risk, control,</t>
  </si>
  <si>
    <t>marketability, flexibility, and timing.</t>
  </si>
  <si>
    <t>Make the debt vs. equity decision</t>
  </si>
  <si>
    <t>Reading</t>
  </si>
  <si>
    <t>Questions</t>
    <phoneticPr fontId="0" type="noConversion"/>
  </si>
  <si>
    <t xml:space="preserve">  </t>
  </si>
  <si>
    <t xml:space="preserve">THE PURPOSE OF THE ASSIGNMENT IS TO LEARN THE PROCESS OF </t>
    <phoneticPr fontId="0" type="noConversion"/>
  </si>
  <si>
    <t>FINANCING WITH DEBT AND EQUITY.</t>
  </si>
  <si>
    <t>PERFECTION IS NOT EXPECTED. THIS IS WORK-IN-PROCESS;</t>
    <phoneticPr fontId="0" type="noConversion"/>
  </si>
  <si>
    <t>NOT FINISHED PRODUCT…I.E., A LEARNING EXPERIENCE.</t>
    <phoneticPr fontId="0" type="noConversion"/>
  </si>
  <si>
    <t>BUT, YOU MUST MAKE A CLEAR RECOMMENDATION BASED ON THE</t>
    <phoneticPr fontId="0" type="noConversion"/>
  </si>
  <si>
    <t xml:space="preserve">SEE THE IS/BS MODEL &amp; FLOW DIAGRAM TABS- YOU ARE NOW WORKING ON THE RED-COLORED ANALYSIS </t>
  </si>
  <si>
    <t>THERE IS NO SINGLE CORRECT ANSWER.</t>
  </si>
  <si>
    <t xml:space="preserve">RESULTS OF THE ANALYSIS. </t>
  </si>
  <si>
    <t>ANSWER BOXES BEGIN AT ROW 74</t>
  </si>
  <si>
    <t>Long Term Acute Care Hospital</t>
  </si>
  <si>
    <t>Free Cash Flow Projections</t>
  </si>
  <si>
    <t>Revenue and Cost Assumptions</t>
  </si>
  <si>
    <t>Results-No NWC Recovery</t>
    <phoneticPr fontId="8" type="noConversion"/>
  </si>
  <si>
    <t>Results-NWC Recovery</t>
    <phoneticPr fontId="8" type="noConversion"/>
  </si>
  <si>
    <t>Number of Beds</t>
  </si>
  <si>
    <t xml:space="preserve"> </t>
    <phoneticPr fontId="8" type="noConversion"/>
  </si>
  <si>
    <t>NPV</t>
    <phoneticPr fontId="8" type="noConversion"/>
  </si>
  <si>
    <t>(000 ommited)</t>
    <phoneticPr fontId="8" type="noConversion"/>
  </si>
  <si>
    <t xml:space="preserve">Year 1 Utilization </t>
  </si>
  <si>
    <t>IRR</t>
    <phoneticPr fontId="8" type="noConversion"/>
  </si>
  <si>
    <t xml:space="preserve">Year 2 Utilization </t>
  </si>
  <si>
    <t>Annual Increase in Utilization</t>
  </si>
  <si>
    <t>Operating Expense (% of Revenue)</t>
  </si>
  <si>
    <t>K-wacc</t>
    <phoneticPr fontId="8" type="noConversion"/>
  </si>
  <si>
    <t>Year</t>
    <phoneticPr fontId="8" type="noConversion"/>
  </si>
  <si>
    <t>VOLUME</t>
  </si>
  <si>
    <t xml:space="preserve">Patient Day Capacity </t>
  </si>
  <si>
    <t xml:space="preserve">Utilization </t>
  </si>
  <si>
    <t>Patient Days Used</t>
  </si>
  <si>
    <t>Average Patient Census per Day</t>
  </si>
  <si>
    <t xml:space="preserve">Average Length of Stay </t>
  </si>
  <si>
    <t>Number of Patients per Year</t>
  </si>
  <si>
    <t>Full-Time Employees/Census</t>
  </si>
  <si>
    <t>Full-Time Employees</t>
  </si>
  <si>
    <t xml:space="preserve">INSURANCE PAYER </t>
  </si>
  <si>
    <t>Patient Mix</t>
  </si>
  <si>
    <t>Medicare</t>
  </si>
  <si>
    <t>Medicaid</t>
  </si>
  <si>
    <t>Commercial Payers</t>
  </si>
  <si>
    <t>Other</t>
  </si>
  <si>
    <t>Indigent</t>
  </si>
  <si>
    <t>Billing</t>
  </si>
  <si>
    <t>Annual Incr</t>
  </si>
  <si>
    <t>Medicare—bill per patient</t>
  </si>
  <si>
    <t>Medicaid—bill per patient</t>
  </si>
  <si>
    <t>Commercial Payers—bill per day</t>
  </si>
  <si>
    <t>Other—bill per patient</t>
  </si>
  <si>
    <t>Indigent—bill per patient</t>
  </si>
  <si>
    <t>Total Revenue</t>
  </si>
  <si>
    <t>(000 omitted)</t>
    <phoneticPr fontId="8" type="noConversion"/>
  </si>
  <si>
    <t>Less Uncollectable</t>
  </si>
  <si>
    <t>Total Net Revenue</t>
  </si>
  <si>
    <t>EXPENSES</t>
  </si>
  <si>
    <t>Salary, Wage, Benefits (based on $ per employee)</t>
    <phoneticPr fontId="8" type="noConversion"/>
  </si>
  <si>
    <t>Supplies, Drugs, Food (% net revenue)</t>
  </si>
  <si>
    <t>Management Fees (% net rev)</t>
  </si>
  <si>
    <t>Operating Expenses (fixed  + 7 % net rev)</t>
  </si>
  <si>
    <t>NA</t>
    <phoneticPr fontId="8" type="noConversion"/>
  </si>
  <si>
    <t>Land Lease per year</t>
  </si>
  <si>
    <t>Depreciation (straight line 30yrs)</t>
  </si>
  <si>
    <t>Total Expenses</t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</si>
  <si>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</si>
  <si>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</si>
  <si>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</si>
  <si>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</si>
  <si>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Operating Profit</t>
  </si>
  <si>
    <t>Operating Margin</t>
  </si>
  <si>
    <t>Net Working Capital</t>
  </si>
  <si>
    <t>Notes:</t>
  </si>
  <si>
    <t xml:space="preserve">Accounts Receivable </t>
  </si>
  <si>
    <t xml:space="preserve">30 days </t>
  </si>
  <si>
    <t>Inventory Supplies, Drugs, Food</t>
  </si>
  <si>
    <t>60 days</t>
  </si>
  <si>
    <t>Accounts Payable</t>
  </si>
  <si>
    <t>Change in NWC</t>
  </si>
  <si>
    <t xml:space="preserve">Free Cash Flows Calculation </t>
  </si>
  <si>
    <t>Add Depreciation</t>
  </si>
  <si>
    <t>Less Capital Expenditures</t>
  </si>
  <si>
    <t>Less Increase in Net Working Capital</t>
  </si>
  <si>
    <t>Free Cash Flows</t>
  </si>
  <si>
    <t>NPV (no recovery in year 10)</t>
  </si>
  <si>
    <t>IRR (no recovery in year 10)</t>
  </si>
  <si>
    <t>NWC Recovery</t>
  </si>
  <si>
    <t>Sale of Facility at Book Value</t>
  </si>
  <si>
    <t>NPV with Year 10 Recovery</t>
  </si>
  <si>
    <t>IRR with Year 10 Recovery</t>
  </si>
  <si>
    <t>Net Profit (Operating Profit - Interest)</t>
  </si>
  <si>
    <t>Net Profit/Net Revenue</t>
  </si>
  <si>
    <t xml:space="preserve"> </t>
    <phoneticPr fontId="8" type="noConversion"/>
  </si>
  <si>
    <t>Study the above analysis carefully, examining the inputs, outputs, and formulas used to do the calculations.</t>
    <phoneticPr fontId="8" type="noConversion"/>
  </si>
  <si>
    <t>Scoring: 10 points each</t>
  </si>
  <si>
    <t>Q1a</t>
    <phoneticPr fontId="8" type="noConversion"/>
  </si>
  <si>
    <t>Mulroney did not use working capital cash flows in her original analysis. The analysis above</t>
    <phoneticPr fontId="8" type="noConversion"/>
  </si>
  <si>
    <t>on 1a-d=40 points for Q1</t>
  </si>
  <si>
    <t xml:space="preserve">includes incremental investment in working capital. Discuss why she was either correct or incorrect not to </t>
    <phoneticPr fontId="8" type="noConversion"/>
  </si>
  <si>
    <t xml:space="preserve">include them. </t>
    <phoneticPr fontId="8" type="noConversion"/>
  </si>
  <si>
    <t>Leaving NWC out was an error or an oversight.</t>
    <phoneticPr fontId="8" type="noConversion"/>
  </si>
  <si>
    <t>know it's incorrect</t>
  </si>
  <si>
    <t>The Generic Capital Budgeting Model includes investment in NWC year-by-year, usually broken down into</t>
    <phoneticPr fontId="8" type="noConversion"/>
  </si>
  <si>
    <t xml:space="preserve">    its components of Receivables, Inventory and Payables. </t>
    <phoneticPr fontId="8" type="noConversion"/>
  </si>
  <si>
    <t>NWC is relevant cash flow representing an investment shown on the balance sheet.</t>
  </si>
  <si>
    <t>any reasonable explanation</t>
  </si>
  <si>
    <t>It is an integral part of any project (barring unique ones that operate on a cash basis and don't keep inventory).</t>
    <phoneticPr fontId="8" type="noConversion"/>
  </si>
  <si>
    <t>deduct 1-2 for lack of clarity</t>
  </si>
  <si>
    <t>Witness the FCF formula including NWC:(EBIT- tax+deprec)+/-Capital Expenditures +/-Change in NWC</t>
  </si>
  <si>
    <t>Q1b</t>
    <phoneticPr fontId="8" type="noConversion"/>
  </si>
  <si>
    <t>Compare the decision metrics NPV &amp; IRR for the "no recovery of NWC" and "recovery of NWC" scenarios,</t>
    <phoneticPr fontId="8" type="noConversion"/>
  </si>
  <si>
    <t>stating which scenario best captures reality. Based on your answer, give the project a green or red light.</t>
    <phoneticPr fontId="8" type="noConversion"/>
  </si>
  <si>
    <t xml:space="preserve"> </t>
    <phoneticPr fontId="8" type="noConversion"/>
  </si>
  <si>
    <t xml:space="preserve">Terminal year recovery of NWC is both logically correct and numerically suspicious. It is logically </t>
    <phoneticPr fontId="8" type="noConversion"/>
  </si>
  <si>
    <t>knowing difference</t>
  </si>
  <si>
    <t>correct because NWC goes to zero when a project closes down, when receivables are collected,</t>
    <phoneticPr fontId="8" type="noConversion"/>
  </si>
  <si>
    <t>between 'recovery'</t>
  </si>
  <si>
    <t>inventory sold, and payables paid. It is a source of funds and should be considered as a relevant cash</t>
    <phoneticPr fontId="8" type="noConversion"/>
  </si>
  <si>
    <t xml:space="preserve">and 'no recovery' </t>
  </si>
  <si>
    <r>
      <t xml:space="preserve">flow in the capital budgeting analysis. It is suspicious because the event is 10 years in the future and </t>
    </r>
    <r>
      <rPr>
        <sz val="10"/>
        <rFont val="Arial"/>
      </rPr>
      <t>it's</t>
    </r>
  </si>
  <si>
    <t xml:space="preserve">hard to predict if the assumptions in the previous sentence will hold. </t>
    <phoneticPr fontId="8" type="noConversion"/>
  </si>
  <si>
    <t>fictional</t>
    <phoneticPr fontId="8" type="noConversion"/>
  </si>
  <si>
    <t>knowing how terminal</t>
  </si>
  <si>
    <t>NPV</t>
    <phoneticPr fontId="8" type="noConversion"/>
  </si>
  <si>
    <t>IRR</t>
    <phoneticPr fontId="8" type="noConversion"/>
  </si>
  <si>
    <t>NPV</t>
    <phoneticPr fontId="8" type="noConversion"/>
  </si>
  <si>
    <t>value might influence</t>
  </si>
  <si>
    <t>Recovery</t>
    <phoneticPr fontId="8" type="noConversion"/>
  </si>
  <si>
    <t>FCF and therefore</t>
  </si>
  <si>
    <t>No Recovery</t>
    <phoneticPr fontId="8" type="noConversion"/>
  </si>
  <si>
    <t>NPV&amp;IRR metrics</t>
  </si>
  <si>
    <t>The point is moot given the black numbers above, the lower NPV &amp; IRR for the no recovery scenario</t>
    <phoneticPr fontId="8" type="noConversion"/>
  </si>
  <si>
    <t>definite red or green</t>
  </si>
  <si>
    <r>
      <t>are green lights by a comfortable margin.</t>
    </r>
    <r>
      <rPr>
        <sz val="10"/>
        <rFont val="Arial"/>
      </rPr>
      <t xml:space="preserve"> The project is accepted with or without the yr 10 recovery.</t>
    </r>
  </si>
  <si>
    <t>decision</t>
  </si>
  <si>
    <t>What to do if the red fictional numbers are your results; green light with the recovery; red light without</t>
    <phoneticPr fontId="8" type="noConversion"/>
  </si>
  <si>
    <t>deduct 2 if hedged</t>
  </si>
  <si>
    <t>it. This can be a knotty problem to resolve. Conservatism insists that the recovery numbers are inflated.</t>
    <phoneticPr fontId="8" type="noConversion"/>
  </si>
  <si>
    <t>Q1c</t>
    <phoneticPr fontId="8" type="noConversion"/>
  </si>
  <si>
    <t>Examine the decision metric 'profit margin', and explain if it leads to a green or red light for this project.</t>
    <phoneticPr fontId="8" type="noConversion"/>
  </si>
  <si>
    <t>Even though the board of directors uses this metric, it is defective. Explain why. HINT: FCF definition.</t>
    <phoneticPr fontId="8" type="noConversion"/>
  </si>
  <si>
    <t>Again looking at the definition of FCF in row 96, the profit margin ratio is not found. It is not a metric</t>
    <phoneticPr fontId="8" type="noConversion"/>
  </si>
  <si>
    <t>aware of profit</t>
  </si>
  <si>
    <t>recommended for capital budgeting decisions (neither NPV, PI, IRR, or PP). Profit margin comes from</t>
    <phoneticPr fontId="8" type="noConversion"/>
  </si>
  <si>
    <t>margin metrics on</t>
  </si>
  <si>
    <t>the income statement. It does not consider the balance sheet. NPV, PI, IRR, PP consider return on</t>
    <phoneticPr fontId="8" type="noConversion"/>
  </si>
  <si>
    <t xml:space="preserve">row 84 </t>
  </si>
  <si>
    <t>investment - simply put, both operating cash flows from the IS and capital cash flows from the</t>
    <phoneticPr fontId="8" type="noConversion"/>
  </si>
  <si>
    <r>
      <rPr>
        <sz val="10"/>
        <rFont val="Arial"/>
      </rPr>
      <t>BS</t>
    </r>
    <r>
      <rPr>
        <sz val="10"/>
        <rFont val="Arial"/>
      </rPr>
      <t xml:space="preserve"> are considered. Even the most simple single-period return on investment ratio</t>
    </r>
  </si>
  <si>
    <t>clear green or red</t>
  </si>
  <si>
    <r>
      <t xml:space="preserve">has a numerator from </t>
    </r>
    <r>
      <rPr>
        <sz val="10"/>
        <rFont val="Arial"/>
      </rPr>
      <t>t</t>
    </r>
    <r>
      <rPr>
        <sz val="10"/>
        <rFont val="Arial"/>
      </rPr>
      <t xml:space="preserve">he IS and a denominator from the BS. </t>
    </r>
  </si>
  <si>
    <t>Using profit margin as a decision criteria, the board of directors makes a common mistake.</t>
    <phoneticPr fontId="8" type="noConversion"/>
  </si>
  <si>
    <t>knowing that profit</t>
  </si>
  <si>
    <t xml:space="preserve">margin is defective </t>
  </si>
  <si>
    <t xml:space="preserve">Which of the ten profit margin figures in row 84 should be used? Should they be averaged? </t>
    <phoneticPr fontId="8" type="noConversion"/>
  </si>
  <si>
    <t>decision criterion</t>
  </si>
  <si>
    <t>The best response is to say that the capital budgeting methodology used in this assignment was</t>
    <phoneticPr fontId="8" type="noConversion"/>
  </si>
  <si>
    <t>with explanation</t>
  </si>
  <si>
    <t>developed to avoid the logical error of using a simple profit margin ratio as a decision criterion.</t>
    <phoneticPr fontId="8" type="noConversion"/>
  </si>
  <si>
    <r>
      <t>Never</t>
    </r>
    <r>
      <rPr>
        <sz val="10"/>
        <rFont val="Arial"/>
      </rPr>
      <t>theless</t>
    </r>
    <r>
      <rPr>
        <sz val="10"/>
        <rFont val="Arial"/>
      </rPr>
      <t>, the board's 5% minimum is exceeded in every year after the first year</t>
    </r>
    <r>
      <rPr>
        <sz val="10"/>
        <rFont val="Arial"/>
      </rPr>
      <t>: green light.</t>
    </r>
  </si>
  <si>
    <t>Q1d</t>
    <phoneticPr fontId="8" type="noConversion"/>
  </si>
  <si>
    <t>Reconcile your answers to Q1b and Q1c.</t>
    <phoneticPr fontId="8" type="noConversion"/>
  </si>
  <si>
    <t xml:space="preserve">There is nothing to reconcile because all metrics flash a green light, making the decision easy </t>
    <phoneticPr fontId="8" type="noConversion"/>
  </si>
  <si>
    <t>as long as the board trusts the assumptions in the analysis.</t>
    <phoneticPr fontId="8" type="noConversion"/>
  </si>
  <si>
    <t>up to 10</t>
  </si>
  <si>
    <t>reasonable</t>
  </si>
  <si>
    <t>NPV &amp; IRR for both recovery and no recovery scenarios give a green light, as do the profit margin</t>
  </si>
  <si>
    <t>recap of Q1a-c</t>
  </si>
  <si>
    <t>metrics.</t>
  </si>
  <si>
    <t>with definite</t>
  </si>
  <si>
    <t>This leads to the Q3 sensitivity analysis, where a worst case analysis can be developed to look at</t>
    <phoneticPr fontId="8" type="noConversion"/>
  </si>
  <si>
    <t>green or red</t>
  </si>
  <si>
    <t>the downside.</t>
    <phoneticPr fontId="8" type="noConversion"/>
  </si>
  <si>
    <t>overall on Q1</t>
  </si>
  <si>
    <t>none - a start-up</t>
  </si>
  <si>
    <t>from case info</t>
  </si>
  <si>
    <t>Q2-Discuss the range of likely EBITs and relate them to the</t>
  </si>
  <si>
    <t xml:space="preserve">Q4-Recommend either debt or equity for the $15,000,000 financing and explain your reasoning.  </t>
  </si>
  <si>
    <r>
      <t>point value is 1</t>
    </r>
    <r>
      <rPr>
        <b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>% of total course grade</t>
    </r>
  </si>
  <si>
    <t>Wk 6 Discussion is 10% of course grade</t>
  </si>
  <si>
    <t>Focus on the Wk 4 LTAC analysis to learn how the DEBT vs. EQUITY FINANCING template works.</t>
  </si>
  <si>
    <t>Some data in the DEBT vs. EQUITY FINANCING template is entered for you in cells B3.B12 and row 65.</t>
  </si>
  <si>
    <t>Enter data that is not already entered.</t>
  </si>
  <si>
    <t>Then, interpret the results of the template.</t>
  </si>
  <si>
    <t>Discuss the range of likely EBITs and relate them to the</t>
  </si>
  <si>
    <t xml:space="preserve">Recommend either debt or equity for the $15,000,000 financing and explain your reasoning.  </t>
  </si>
  <si>
    <t>Doing otherwise violates academic integrity rules.</t>
  </si>
  <si>
    <t>IS CITED AND THAT THE WRITE-UP IS YOUR INDEPENDENT WORK.</t>
  </si>
  <si>
    <t>AT ROW 42, ENTER YOUR ELECTRONICALLY-SIGNED STATEMENT OF ACADEMIC HONESTY, ATTESTING THAT GROUP PREPARATION</t>
  </si>
  <si>
    <t>Frame your answer using the FRICTO framework, p 119 in the book, citing specifics from the analysis and case.</t>
  </si>
  <si>
    <t>KEEP IN MIND THAT THIS IS A FOR-PROFIT START-UP</t>
  </si>
  <si>
    <t>FOR THIS ASSIGNMENT, LTAC CHANGES TO A STANDALONE FOR-PROFIT START-UP, NOT PART OF A NON-PROFIT HOSPITAL</t>
  </si>
  <si>
    <t>start-up shares</t>
  </si>
  <si>
    <t>approximations - be creative</t>
  </si>
  <si>
    <t>building</t>
  </si>
  <si>
    <t>determined by CFO</t>
  </si>
  <si>
    <t>start-up shares @$10</t>
  </si>
  <si>
    <t>ENTER DATA IN THE BLUE-COLORED CELLS</t>
  </si>
</sst>
</file>

<file path=xl/styles.xml><?xml version="1.0" encoding="utf-8"?>
<styleSheet xmlns="http://schemas.openxmlformats.org/spreadsheetml/2006/main">
  <numFmts count="13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#,##0.0_);[Red]\(#,##0.0\)"/>
    <numFmt numFmtId="169" formatCode="#,##0.0_);\(#,##0.0\)"/>
    <numFmt numFmtId="170" formatCode="&quot;$&quot;#,##0.0_);[Red]\(&quot;$&quot;#,##0.0\)"/>
    <numFmt numFmtId="171" formatCode="#,##0.000_);\(#,##0.000\)"/>
    <numFmt numFmtId="172" formatCode="_(&quot;$&quot;* #,##0_);_(&quot;$&quot;* \(#,##0\);_(&quot;$&quot;* &quot;-&quot;??_);_(@_)"/>
  </numFmts>
  <fonts count="48">
    <font>
      <sz val="10"/>
      <name val="Arial"/>
    </font>
    <font>
      <sz val="10"/>
      <name val="Arial"/>
    </font>
    <font>
      <sz val="12"/>
      <name val="Arial"/>
    </font>
    <font>
      <b/>
      <sz val="12"/>
      <color indexed="10"/>
      <name val="Arial"/>
    </font>
    <font>
      <b/>
      <sz val="12"/>
      <name val="Arial"/>
    </font>
    <font>
      <i/>
      <u/>
      <sz val="12"/>
      <name val="Arial"/>
    </font>
    <font>
      <b/>
      <u/>
      <sz val="12"/>
      <name val="Arial"/>
    </font>
    <font>
      <i/>
      <sz val="12"/>
      <name val="Arial"/>
    </font>
    <font>
      <u/>
      <sz val="12"/>
      <name val="Arial"/>
      <family val="2"/>
    </font>
    <font>
      <sz val="12"/>
      <color indexed="8"/>
      <name val="Arial"/>
    </font>
    <font>
      <sz val="12"/>
      <color indexed="12"/>
      <name val="Arial"/>
      <family val="2"/>
    </font>
    <font>
      <sz val="12"/>
      <color indexed="10"/>
      <name val="Arial"/>
    </font>
    <font>
      <sz val="10"/>
      <color indexed="8"/>
      <name val="Arial"/>
    </font>
    <font>
      <sz val="11"/>
      <name val="Arial"/>
    </font>
    <font>
      <sz val="12"/>
      <color indexed="10"/>
      <name val="Arial"/>
    </font>
    <font>
      <b/>
      <sz val="8"/>
      <name val="Arial"/>
      <family val="2"/>
    </font>
    <font>
      <sz val="8"/>
      <name val="Arial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Arial"/>
    </font>
    <font>
      <b/>
      <sz val="12"/>
      <color indexed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11"/>
      <color indexed="10"/>
      <name val="Arial"/>
    </font>
    <font>
      <sz val="11"/>
      <color rgb="FFFF0000"/>
      <name val="Arial"/>
    </font>
    <font>
      <sz val="11"/>
      <color rgb="FFFF0000"/>
      <name val="Times New Roman"/>
      <family val="1"/>
    </font>
    <font>
      <u/>
      <sz val="11"/>
      <color rgb="FFFF0000"/>
      <name val="Arial"/>
    </font>
    <font>
      <sz val="12"/>
      <color rgb="FFFF0000"/>
      <name val="Arial"/>
    </font>
    <font>
      <u/>
      <sz val="12"/>
      <color indexed="10"/>
      <name val="Arial"/>
    </font>
    <font>
      <u/>
      <sz val="12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b/>
      <sz val="11"/>
      <color rgb="FFFF0000"/>
      <name val="Arial"/>
    </font>
    <font>
      <b/>
      <sz val="9"/>
      <color indexed="10"/>
      <name val="Arial"/>
    </font>
    <font>
      <sz val="9"/>
      <name val="Arial"/>
    </font>
    <font>
      <sz val="12"/>
      <color theme="1"/>
      <name val="Arial"/>
    </font>
    <font>
      <b/>
      <sz val="12"/>
      <color rgb="FFFF0000"/>
      <name val="Arial"/>
    </font>
    <font>
      <b/>
      <sz val="12"/>
      <color rgb="FF3366FF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5">
    <xf numFmtId="0" fontId="0" fillId="0" borderId="0" xfId="0"/>
    <xf numFmtId="0" fontId="1" fillId="0" borderId="0" xfId="7"/>
    <xf numFmtId="0" fontId="2" fillId="0" borderId="0" xfId="7" applyFont="1"/>
    <xf numFmtId="0" fontId="3" fillId="0" borderId="0" xfId="7" applyFont="1"/>
    <xf numFmtId="3" fontId="4" fillId="0" borderId="0" xfId="7" applyNumberFormat="1" applyFont="1"/>
    <xf numFmtId="0" fontId="4" fillId="0" borderId="0" xfId="7" applyFont="1"/>
    <xf numFmtId="164" fontId="2" fillId="0" borderId="30" xfId="8" applyNumberFormat="1" applyFont="1" applyBorder="1"/>
    <xf numFmtId="164" fontId="2" fillId="0" borderId="23" xfId="8" applyNumberFormat="1" applyFont="1" applyBorder="1"/>
    <xf numFmtId="0" fontId="2" fillId="0" borderId="29" xfId="7" applyFont="1" applyBorder="1"/>
    <xf numFmtId="3" fontId="2" fillId="0" borderId="23" xfId="7" applyNumberFormat="1" applyFont="1" applyBorder="1"/>
    <xf numFmtId="0" fontId="2" fillId="0" borderId="28" xfId="7" applyFont="1" applyBorder="1"/>
    <xf numFmtId="0" fontId="2" fillId="0" borderId="0" xfId="7" applyFont="1" applyBorder="1"/>
    <xf numFmtId="0" fontId="2" fillId="0" borderId="27" xfId="7" applyFont="1" applyBorder="1"/>
    <xf numFmtId="3" fontId="2" fillId="0" borderId="0" xfId="7" applyNumberFormat="1" applyFont="1"/>
    <xf numFmtId="0" fontId="4" fillId="0" borderId="26" xfId="7" applyFont="1" applyBorder="1" applyAlignment="1">
      <alignment horizontal="center"/>
    </xf>
    <xf numFmtId="0" fontId="4" fillId="0" borderId="25" xfId="7" applyFont="1" applyBorder="1" applyAlignment="1">
      <alignment horizontal="center"/>
    </xf>
    <xf numFmtId="0" fontId="4" fillId="0" borderId="24" xfId="7" applyFont="1" applyBorder="1"/>
    <xf numFmtId="164" fontId="2" fillId="0" borderId="0" xfId="7" applyNumberFormat="1" applyFont="1"/>
    <xf numFmtId="164" fontId="2" fillId="0" borderId="0" xfId="8" applyNumberFormat="1" applyFont="1"/>
    <xf numFmtId="0" fontId="4" fillId="0" borderId="23" xfId="7" applyFont="1" applyBorder="1" applyAlignment="1">
      <alignment horizontal="center"/>
    </xf>
    <xf numFmtId="44" fontId="2" fillId="0" borderId="0" xfId="7" applyNumberFormat="1" applyFont="1"/>
    <xf numFmtId="37" fontId="2" fillId="0" borderId="0" xfId="7" applyNumberFormat="1" applyFont="1"/>
    <xf numFmtId="37" fontId="2" fillId="0" borderId="0" xfId="1" applyNumberFormat="1" applyFont="1"/>
    <xf numFmtId="7" fontId="2" fillId="3" borderId="14" xfId="7" applyNumberFormat="1" applyFont="1" applyFill="1" applyBorder="1"/>
    <xf numFmtId="0" fontId="4" fillId="3" borderId="14" xfId="7" applyFont="1" applyFill="1" applyBorder="1"/>
    <xf numFmtId="0" fontId="5" fillId="3" borderId="14" xfId="7" applyFont="1" applyFill="1" applyBorder="1"/>
    <xf numFmtId="0" fontId="6" fillId="0" borderId="0" xfId="7" applyFont="1"/>
    <xf numFmtId="1" fontId="2" fillId="0" borderId="0" xfId="7" applyNumberFormat="1" applyFont="1" applyFill="1" applyBorder="1"/>
    <xf numFmtId="0" fontId="7" fillId="0" borderId="0" xfId="7" applyFont="1" applyFill="1" applyBorder="1"/>
    <xf numFmtId="44" fontId="2" fillId="0" borderId="0" xfId="7" applyNumberFormat="1" applyFont="1" applyFill="1" applyBorder="1"/>
    <xf numFmtId="1" fontId="2" fillId="0" borderId="0" xfId="7" applyNumberFormat="1" applyFont="1"/>
    <xf numFmtId="165" fontId="2" fillId="0" borderId="0" xfId="7" applyNumberFormat="1" applyFont="1" applyAlignment="1"/>
    <xf numFmtId="44" fontId="2" fillId="0" borderId="0" xfId="1" applyFont="1" applyAlignment="1"/>
    <xf numFmtId="37" fontId="8" fillId="0" borderId="0" xfId="7" applyNumberFormat="1" applyFont="1" applyAlignment="1"/>
    <xf numFmtId="37" fontId="2" fillId="0" borderId="0" xfId="7" applyNumberFormat="1" applyFont="1" applyAlignment="1"/>
    <xf numFmtId="37" fontId="9" fillId="0" borderId="0" xfId="7" applyNumberFormat="1" applyFont="1" applyAlignment="1"/>
    <xf numFmtId="37" fontId="2" fillId="0" borderId="0" xfId="7" applyNumberFormat="1" applyFont="1" applyAlignment="1">
      <alignment horizontal="right"/>
    </xf>
    <xf numFmtId="0" fontId="6" fillId="0" borderId="0" xfId="7" applyFont="1" applyAlignment="1">
      <alignment horizontal="center"/>
    </xf>
    <xf numFmtId="0" fontId="10" fillId="0" borderId="0" xfId="7" applyFont="1"/>
    <xf numFmtId="164" fontId="10" fillId="0" borderId="0" xfId="8" applyNumberFormat="1" applyFont="1"/>
    <xf numFmtId="0" fontId="9" fillId="0" borderId="0" xfId="7" applyFont="1"/>
    <xf numFmtId="3" fontId="10" fillId="0" borderId="0" xfId="7" applyNumberFormat="1" applyFont="1"/>
    <xf numFmtId="0" fontId="11" fillId="0" borderId="0" xfId="7" applyFont="1"/>
    <xf numFmtId="0" fontId="13" fillId="0" borderId="0" xfId="7" applyFont="1"/>
    <xf numFmtId="0" fontId="14" fillId="0" borderId="0" xfId="7" applyFont="1"/>
    <xf numFmtId="0" fontId="2" fillId="0" borderId="31" xfId="7" applyFont="1" applyBorder="1"/>
    <xf numFmtId="0" fontId="2" fillId="0" borderId="32" xfId="7" applyFont="1" applyBorder="1"/>
    <xf numFmtId="0" fontId="1" fillId="0" borderId="28" xfId="7" applyBorder="1"/>
    <xf numFmtId="0" fontId="2" fillId="0" borderId="23" xfId="7" applyFont="1" applyBorder="1"/>
    <xf numFmtId="0" fontId="13" fillId="0" borderId="23" xfId="7" applyFont="1" applyBorder="1"/>
    <xf numFmtId="0" fontId="1" fillId="0" borderId="30" xfId="7" applyBorder="1"/>
    <xf numFmtId="0" fontId="1" fillId="0" borderId="33" xfId="7" applyBorder="1"/>
    <xf numFmtId="0" fontId="1" fillId="0" borderId="0" xfId="7" applyBorder="1"/>
    <xf numFmtId="0" fontId="4" fillId="0" borderId="7" xfId="4" applyFont="1" applyBorder="1" applyAlignment="1">
      <alignment horizontal="left"/>
    </xf>
    <xf numFmtId="0" fontId="2" fillId="2" borderId="0" xfId="4" applyFont="1" applyFill="1"/>
    <xf numFmtId="0" fontId="4" fillId="0" borderId="1" xfId="4" applyFont="1" applyBorder="1"/>
    <xf numFmtId="0" fontId="2" fillId="0" borderId="3" xfId="4" applyFont="1" applyBorder="1"/>
    <xf numFmtId="0" fontId="2" fillId="3" borderId="0" xfId="4" applyFont="1" applyFill="1"/>
    <xf numFmtId="0" fontId="1" fillId="0" borderId="0" xfId="4"/>
    <xf numFmtId="0" fontId="4" fillId="4" borderId="8" xfId="4" applyFont="1" applyFill="1" applyBorder="1"/>
    <xf numFmtId="0" fontId="4" fillId="0" borderId="7" xfId="4" applyFont="1" applyBorder="1"/>
    <xf numFmtId="0" fontId="4" fillId="0" borderId="9" xfId="4" applyFont="1" applyBorder="1"/>
    <xf numFmtId="0" fontId="2" fillId="5" borderId="0" xfId="4" applyFont="1" applyFill="1"/>
    <xf numFmtId="0" fontId="2" fillId="6" borderId="8" xfId="4" applyFont="1" applyFill="1" applyBorder="1"/>
    <xf numFmtId="0" fontId="4" fillId="3" borderId="8" xfId="4" applyFont="1" applyFill="1" applyBorder="1"/>
    <xf numFmtId="0" fontId="4" fillId="3" borderId="10" xfId="4" applyFont="1" applyFill="1" applyBorder="1"/>
    <xf numFmtId="0" fontId="2" fillId="2" borderId="8" xfId="4" applyFont="1" applyFill="1" applyBorder="1"/>
    <xf numFmtId="0" fontId="2" fillId="3" borderId="8" xfId="4" applyFont="1" applyFill="1" applyBorder="1"/>
    <xf numFmtId="0" fontId="2" fillId="5" borderId="10" xfId="4" applyFont="1" applyFill="1" applyBorder="1"/>
    <xf numFmtId="0" fontId="2" fillId="6" borderId="0" xfId="4" applyFont="1" applyFill="1"/>
    <xf numFmtId="0" fontId="2" fillId="5" borderId="8" xfId="4" applyFont="1" applyFill="1" applyBorder="1"/>
    <xf numFmtId="0" fontId="2" fillId="3" borderId="10" xfId="4" applyFont="1" applyFill="1" applyBorder="1"/>
    <xf numFmtId="0" fontId="2" fillId="7" borderId="0" xfId="4" applyFont="1" applyFill="1"/>
    <xf numFmtId="0" fontId="4" fillId="2" borderId="8" xfId="4" applyFont="1" applyFill="1" applyBorder="1"/>
    <xf numFmtId="0" fontId="4" fillId="6" borderId="1" xfId="4" applyFont="1" applyFill="1" applyBorder="1"/>
    <xf numFmtId="0" fontId="4" fillId="7" borderId="11" xfId="4" applyFont="1" applyFill="1" applyBorder="1"/>
    <xf numFmtId="0" fontId="2" fillId="7" borderId="8" xfId="4" applyFont="1" applyFill="1" applyBorder="1"/>
    <xf numFmtId="0" fontId="2" fillId="6" borderId="12" xfId="4" applyFont="1" applyFill="1" applyBorder="1"/>
    <xf numFmtId="0" fontId="2" fillId="6" borderId="4" xfId="4" applyFont="1" applyFill="1" applyBorder="1"/>
    <xf numFmtId="0" fontId="2" fillId="2" borderId="12" xfId="4" applyFont="1" applyFill="1" applyBorder="1"/>
    <xf numFmtId="0" fontId="2" fillId="7" borderId="13" xfId="4" applyFont="1" applyFill="1" applyBorder="1"/>
    <xf numFmtId="0" fontId="2" fillId="0" borderId="10" xfId="4" applyFont="1" applyBorder="1"/>
    <xf numFmtId="0" fontId="2" fillId="2" borderId="0" xfId="4" applyFont="1" applyFill="1" applyAlignment="1">
      <alignment horizontal="right"/>
    </xf>
    <xf numFmtId="0" fontId="4" fillId="0" borderId="13" xfId="4" applyFont="1" applyBorder="1"/>
    <xf numFmtId="0" fontId="2" fillId="0" borderId="0" xfId="4" applyFont="1"/>
    <xf numFmtId="0" fontId="2" fillId="8" borderId="0" xfId="4" applyFont="1" applyFill="1" applyAlignment="1">
      <alignment horizontal="left"/>
    </xf>
    <xf numFmtId="0" fontId="8" fillId="8" borderId="0" xfId="4" applyFont="1" applyFill="1" applyAlignment="1">
      <alignment horizontal="center"/>
    </xf>
    <xf numFmtId="0" fontId="4" fillId="0" borderId="4" xfId="4" applyFont="1" applyBorder="1"/>
    <xf numFmtId="0" fontId="4" fillId="0" borderId="6" xfId="4" applyFont="1" applyBorder="1"/>
    <xf numFmtId="0" fontId="2" fillId="8" borderId="0" xfId="4" applyFont="1" applyFill="1" applyAlignment="1">
      <alignment horizontal="center"/>
    </xf>
    <xf numFmtId="0" fontId="1" fillId="2" borderId="0" xfId="4" applyFill="1"/>
    <xf numFmtId="0" fontId="15" fillId="2" borderId="14" xfId="4" applyFont="1" applyFill="1" applyBorder="1"/>
    <xf numFmtId="0" fontId="15" fillId="2" borderId="0" xfId="4" applyFont="1" applyFill="1" applyBorder="1"/>
    <xf numFmtId="0" fontId="16" fillId="2" borderId="0" xfId="4" applyFont="1" applyFill="1"/>
    <xf numFmtId="0" fontId="16" fillId="7" borderId="0" xfId="4" applyFont="1" applyFill="1"/>
    <xf numFmtId="0" fontId="16" fillId="7" borderId="15" xfId="4" applyFont="1" applyFill="1" applyBorder="1"/>
    <xf numFmtId="0" fontId="16" fillId="7" borderId="16" xfId="4" applyFont="1" applyFill="1" applyBorder="1"/>
    <xf numFmtId="0" fontId="1" fillId="2" borderId="0" xfId="4" applyFill="1" applyBorder="1"/>
    <xf numFmtId="0" fontId="16" fillId="3" borderId="14" xfId="4" applyFont="1" applyFill="1" applyBorder="1"/>
    <xf numFmtId="0" fontId="16" fillId="2" borderId="0" xfId="4" applyFont="1" applyFill="1" applyBorder="1"/>
    <xf numFmtId="0" fontId="17" fillId="2" borderId="0" xfId="4" applyFont="1" applyFill="1"/>
    <xf numFmtId="0" fontId="16" fillId="9" borderId="12" xfId="4" applyFont="1" applyFill="1" applyBorder="1"/>
    <xf numFmtId="0" fontId="16" fillId="9" borderId="10" xfId="4" applyFont="1" applyFill="1" applyBorder="1"/>
    <xf numFmtId="0" fontId="16" fillId="8" borderId="14" xfId="4" applyFont="1" applyFill="1" applyBorder="1"/>
    <xf numFmtId="0" fontId="18" fillId="2" borderId="0" xfId="4" applyFont="1" applyFill="1"/>
    <xf numFmtId="0" fontId="16" fillId="9" borderId="4" xfId="4" applyFont="1" applyFill="1" applyBorder="1"/>
    <xf numFmtId="0" fontId="16" fillId="9" borderId="6" xfId="4" applyFont="1" applyFill="1" applyBorder="1"/>
    <xf numFmtId="0" fontId="16" fillId="6" borderId="14" xfId="4" applyFont="1" applyFill="1" applyBorder="1"/>
    <xf numFmtId="0" fontId="16" fillId="3" borderId="0" xfId="4" applyFont="1" applyFill="1"/>
    <xf numFmtId="0" fontId="16" fillId="3" borderId="1" xfId="4" applyFont="1" applyFill="1" applyBorder="1"/>
    <xf numFmtId="0" fontId="16" fillId="3" borderId="3" xfId="4" applyFont="1" applyFill="1" applyBorder="1"/>
    <xf numFmtId="0" fontId="16" fillId="0" borderId="0" xfId="4" applyFont="1"/>
    <xf numFmtId="0" fontId="16" fillId="10" borderId="11" xfId="4" applyFont="1" applyFill="1" applyBorder="1"/>
    <xf numFmtId="0" fontId="16" fillId="7" borderId="1" xfId="4" applyFont="1" applyFill="1" applyBorder="1"/>
    <xf numFmtId="0" fontId="16" fillId="7" borderId="3" xfId="4" applyFont="1" applyFill="1" applyBorder="1"/>
    <xf numFmtId="0" fontId="16" fillId="7" borderId="14" xfId="4" applyFont="1" applyFill="1" applyBorder="1"/>
    <xf numFmtId="0" fontId="16" fillId="10" borderId="8" xfId="4" applyFont="1" applyFill="1" applyBorder="1"/>
    <xf numFmtId="0" fontId="16" fillId="7" borderId="12" xfId="4" applyFont="1" applyFill="1" applyBorder="1"/>
    <xf numFmtId="0" fontId="16" fillId="7" borderId="10" xfId="4" applyFont="1" applyFill="1" applyBorder="1"/>
    <xf numFmtId="0" fontId="19" fillId="2" borderId="0" xfId="4" applyFont="1" applyFill="1" applyBorder="1"/>
    <xf numFmtId="0" fontId="16" fillId="7" borderId="4" xfId="4" applyFont="1" applyFill="1" applyBorder="1"/>
    <xf numFmtId="0" fontId="16" fillId="7" borderId="6" xfId="4" applyFont="1" applyFill="1" applyBorder="1"/>
    <xf numFmtId="0" fontId="16" fillId="10" borderId="13" xfId="4" applyFont="1" applyFill="1" applyBorder="1"/>
    <xf numFmtId="0" fontId="20" fillId="7" borderId="17" xfId="4" applyFont="1" applyFill="1" applyBorder="1" applyAlignment="1">
      <alignment horizontal="center"/>
    </xf>
    <xf numFmtId="0" fontId="20" fillId="7" borderId="18" xfId="4" applyFont="1" applyFill="1" applyBorder="1" applyAlignment="1">
      <alignment horizontal="center"/>
    </xf>
    <xf numFmtId="0" fontId="20" fillId="7" borderId="2" xfId="4" applyFont="1" applyFill="1" applyBorder="1" applyAlignment="1">
      <alignment horizontal="center"/>
    </xf>
    <xf numFmtId="0" fontId="16" fillId="7" borderId="19" xfId="4" applyFont="1" applyFill="1" applyBorder="1"/>
    <xf numFmtId="0" fontId="16" fillId="7" borderId="20" xfId="4" applyFont="1" applyFill="1" applyBorder="1"/>
    <xf numFmtId="0" fontId="16" fillId="7" borderId="0" xfId="4" applyFont="1" applyFill="1" applyBorder="1"/>
    <xf numFmtId="0" fontId="16" fillId="7" borderId="21" xfId="4" applyFont="1" applyFill="1" applyBorder="1"/>
    <xf numFmtId="0" fontId="16" fillId="7" borderId="22" xfId="4" applyFont="1" applyFill="1" applyBorder="1"/>
    <xf numFmtId="0" fontId="16" fillId="7" borderId="5" xfId="4" applyFont="1" applyFill="1" applyBorder="1"/>
    <xf numFmtId="0" fontId="16" fillId="6" borderId="0" xfId="4" applyFont="1" applyFill="1"/>
    <xf numFmtId="0" fontId="16" fillId="6" borderId="1" xfId="4" applyFont="1" applyFill="1" applyBorder="1"/>
    <xf numFmtId="0" fontId="16" fillId="6" borderId="3" xfId="4" applyFont="1" applyFill="1" applyBorder="1"/>
    <xf numFmtId="0" fontId="16" fillId="11" borderId="12" xfId="4" applyFont="1" applyFill="1" applyBorder="1"/>
    <xf numFmtId="0" fontId="16" fillId="11" borderId="10" xfId="4" applyFont="1" applyFill="1" applyBorder="1"/>
    <xf numFmtId="0" fontId="16" fillId="11" borderId="4" xfId="4" applyFont="1" applyFill="1" applyBorder="1"/>
    <xf numFmtId="0" fontId="16" fillId="11" borderId="6" xfId="4" applyFont="1" applyFill="1" applyBorder="1"/>
    <xf numFmtId="0" fontId="16" fillId="8" borderId="1" xfId="4" applyFont="1" applyFill="1" applyBorder="1"/>
    <xf numFmtId="0" fontId="16" fillId="8" borderId="3" xfId="4" applyFont="1" applyFill="1" applyBorder="1"/>
    <xf numFmtId="0" fontId="16" fillId="12" borderId="12" xfId="4" applyFont="1" applyFill="1" applyBorder="1"/>
    <xf numFmtId="0" fontId="16" fillId="12" borderId="10" xfId="4" applyFont="1" applyFill="1" applyBorder="1"/>
    <xf numFmtId="0" fontId="16" fillId="12" borderId="4" xfId="4" applyFont="1" applyFill="1" applyBorder="1"/>
    <xf numFmtId="0" fontId="16" fillId="12" borderId="6" xfId="4" applyFont="1" applyFill="1" applyBorder="1"/>
    <xf numFmtId="0" fontId="16" fillId="8" borderId="0" xfId="4" applyFont="1" applyFill="1"/>
    <xf numFmtId="0" fontId="16" fillId="8" borderId="15" xfId="4" applyFont="1" applyFill="1" applyBorder="1"/>
    <xf numFmtId="0" fontId="16" fillId="8" borderId="16" xfId="4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0" fillId="0" borderId="0" xfId="0" applyNumberFormat="1"/>
    <xf numFmtId="0" fontId="24" fillId="0" borderId="0" xfId="7" applyFont="1"/>
    <xf numFmtId="0" fontId="25" fillId="0" borderId="0" xfId="7" applyFont="1"/>
    <xf numFmtId="0" fontId="24" fillId="0" borderId="0" xfId="0" applyFont="1"/>
    <xf numFmtId="0" fontId="1" fillId="0" borderId="27" xfId="7" applyBorder="1"/>
    <xf numFmtId="0" fontId="1" fillId="0" borderId="29" xfId="7" applyBorder="1"/>
    <xf numFmtId="0" fontId="8" fillId="0" borderId="0" xfId="7" applyFont="1"/>
    <xf numFmtId="0" fontId="1" fillId="0" borderId="0" xfId="7" applyFont="1"/>
    <xf numFmtId="0" fontId="26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7" xfId="0" applyBorder="1"/>
    <xf numFmtId="0" fontId="0" fillId="0" borderId="0" xfId="0" applyBorder="1"/>
    <xf numFmtId="0" fontId="0" fillId="0" borderId="28" xfId="0" applyBorder="1"/>
    <xf numFmtId="0" fontId="1" fillId="0" borderId="32" xfId="7" applyBorder="1"/>
    <xf numFmtId="0" fontId="1" fillId="0" borderId="23" xfId="7" applyBorder="1"/>
    <xf numFmtId="0" fontId="27" fillId="0" borderId="0" xfId="3" applyFont="1" applyFill="1"/>
    <xf numFmtId="37" fontId="28" fillId="0" borderId="0" xfId="3" applyNumberFormat="1" applyFont="1" applyFill="1" applyBorder="1"/>
    <xf numFmtId="37" fontId="28" fillId="0" borderId="0" xfId="3" applyNumberFormat="1" applyFont="1" applyFill="1"/>
    <xf numFmtId="0" fontId="2" fillId="0" borderId="0" xfId="3"/>
    <xf numFmtId="37" fontId="27" fillId="0" borderId="0" xfId="3" applyNumberFormat="1" applyFont="1" applyFill="1" applyBorder="1"/>
    <xf numFmtId="0" fontId="27" fillId="0" borderId="0" xfId="3" applyFont="1" applyFill="1" applyBorder="1"/>
    <xf numFmtId="0" fontId="29" fillId="0" borderId="1" xfId="3" applyFont="1" applyFill="1" applyBorder="1"/>
    <xf numFmtId="37" fontId="28" fillId="0" borderId="3" xfId="3" applyNumberFormat="1" applyFont="1" applyFill="1" applyBorder="1" applyAlignment="1">
      <alignment horizontal="center"/>
    </xf>
    <xf numFmtId="37" fontId="30" fillId="0" borderId="0" xfId="3" applyNumberFormat="1" applyFont="1" applyFill="1" applyBorder="1"/>
    <xf numFmtId="37" fontId="29" fillId="0" borderId="1" xfId="3" applyNumberFormat="1" applyFont="1" applyFill="1" applyBorder="1"/>
    <xf numFmtId="37" fontId="27" fillId="0" borderId="3" xfId="3" applyNumberFormat="1" applyFont="1" applyFill="1" applyBorder="1"/>
    <xf numFmtId="0" fontId="28" fillId="0" borderId="12" xfId="3" applyFont="1" applyFill="1" applyBorder="1"/>
    <xf numFmtId="0" fontId="28" fillId="0" borderId="10" xfId="3" applyFont="1" applyFill="1" applyBorder="1" applyAlignment="1">
      <alignment horizontal="right"/>
    </xf>
    <xf numFmtId="37" fontId="28" fillId="0" borderId="0" xfId="3" applyNumberFormat="1" applyFont="1" applyFill="1" applyBorder="1" applyAlignment="1">
      <alignment horizontal="left" indent="1"/>
    </xf>
    <xf numFmtId="0" fontId="27" fillId="0" borderId="12" xfId="3" applyFont="1" applyFill="1" applyBorder="1"/>
    <xf numFmtId="6" fontId="27" fillId="0" borderId="10" xfId="10" applyNumberFormat="1" applyFont="1" applyFill="1" applyBorder="1" applyAlignment="1">
      <alignment horizontal="right" vertical="center"/>
    </xf>
    <xf numFmtId="37" fontId="27" fillId="0" borderId="12" xfId="3" applyNumberFormat="1" applyFont="1" applyFill="1" applyBorder="1"/>
    <xf numFmtId="9" fontId="28" fillId="0" borderId="10" xfId="9" applyFont="1" applyFill="1" applyBorder="1" applyAlignment="1">
      <alignment horizontal="right"/>
    </xf>
    <xf numFmtId="37" fontId="27" fillId="0" borderId="4" xfId="3" applyNumberFormat="1" applyFont="1" applyFill="1" applyBorder="1"/>
    <xf numFmtId="164" fontId="27" fillId="0" borderId="6" xfId="9" applyNumberFormat="1" applyFont="1" applyFill="1" applyBorder="1" applyAlignment="1">
      <alignment horizontal="right" vertical="center"/>
    </xf>
    <xf numFmtId="0" fontId="28" fillId="0" borderId="0" xfId="3" applyFont="1" applyFill="1"/>
    <xf numFmtId="37" fontId="28" fillId="0" borderId="12" xfId="3" applyNumberFormat="1" applyFont="1" applyFill="1" applyBorder="1"/>
    <xf numFmtId="9" fontId="28" fillId="0" borderId="0" xfId="9" applyFont="1" applyFill="1" applyBorder="1" applyAlignment="1">
      <alignment horizontal="left" indent="1"/>
    </xf>
    <xf numFmtId="164" fontId="28" fillId="0" borderId="10" xfId="9" applyNumberFormat="1" applyFont="1" applyFill="1" applyBorder="1" applyAlignment="1">
      <alignment horizontal="right"/>
    </xf>
    <xf numFmtId="164" fontId="28" fillId="0" borderId="0" xfId="9" applyNumberFormat="1" applyFont="1" applyFill="1" applyBorder="1" applyAlignment="1">
      <alignment horizontal="left" indent="1"/>
    </xf>
    <xf numFmtId="0" fontId="28" fillId="0" borderId="0" xfId="3" applyFont="1" applyFill="1" applyProtection="1">
      <protection locked="0"/>
    </xf>
    <xf numFmtId="37" fontId="27" fillId="0" borderId="34" xfId="3" applyNumberFormat="1" applyFont="1" applyFill="1" applyBorder="1" applyProtection="1">
      <protection locked="0"/>
    </xf>
    <xf numFmtId="9" fontId="28" fillId="0" borderId="9" xfId="9" applyFont="1" applyFill="1" applyBorder="1" applyProtection="1">
      <protection locked="0"/>
    </xf>
    <xf numFmtId="9" fontId="28" fillId="0" borderId="0" xfId="9" applyFont="1" applyFill="1" applyBorder="1" applyAlignment="1" applyProtection="1">
      <alignment horizontal="center"/>
      <protection locked="0"/>
    </xf>
    <xf numFmtId="37" fontId="28" fillId="0" borderId="0" xfId="3" applyNumberFormat="1" applyFont="1" applyFill="1" applyBorder="1" applyProtection="1">
      <protection locked="0"/>
    </xf>
    <xf numFmtId="9" fontId="28" fillId="0" borderId="0" xfId="9" applyFont="1" applyFill="1" applyBorder="1" applyProtection="1">
      <protection locked="0"/>
    </xf>
    <xf numFmtId="9" fontId="28" fillId="0" borderId="0" xfId="9" applyFont="1" applyFill="1" applyProtection="1">
      <protection locked="0"/>
    </xf>
    <xf numFmtId="37" fontId="28" fillId="0" borderId="0" xfId="3" applyNumberFormat="1" applyFont="1" applyFill="1" applyProtection="1">
      <protection locked="0"/>
    </xf>
    <xf numFmtId="164" fontId="28" fillId="0" borderId="0" xfId="9" applyNumberFormat="1" applyFont="1" applyFill="1" applyBorder="1" applyAlignment="1">
      <alignment horizontal="center"/>
    </xf>
    <xf numFmtId="37" fontId="29" fillId="0" borderId="0" xfId="3" applyNumberFormat="1" applyFont="1" applyFill="1" applyBorder="1"/>
    <xf numFmtId="37" fontId="29" fillId="0" borderId="0" xfId="3" applyNumberFormat="1" applyFont="1" applyFill="1" applyBorder="1" applyAlignment="1">
      <alignment horizontal="center"/>
    </xf>
    <xf numFmtId="37" fontId="29" fillId="0" borderId="0" xfId="3" applyNumberFormat="1" applyFont="1" applyFill="1" applyAlignment="1">
      <alignment horizontal="center"/>
    </xf>
    <xf numFmtId="37" fontId="27" fillId="0" borderId="0" xfId="3" applyNumberFormat="1" applyFont="1" applyFill="1"/>
    <xf numFmtId="37" fontId="28" fillId="0" borderId="0" xfId="3" applyNumberFormat="1" applyFont="1" applyFill="1" applyBorder="1" applyAlignment="1">
      <alignment horizontal="center"/>
    </xf>
    <xf numFmtId="37" fontId="28" fillId="0" borderId="0" xfId="3" applyNumberFormat="1" applyFont="1" applyFill="1" applyBorder="1" applyAlignment="1">
      <alignment horizontal="right"/>
    </xf>
    <xf numFmtId="9" fontId="28" fillId="0" borderId="0" xfId="9" applyFont="1" applyFill="1" applyBorder="1" applyAlignment="1">
      <alignment horizontal="right"/>
    </xf>
    <xf numFmtId="166" fontId="28" fillId="0" borderId="0" xfId="11" applyNumberFormat="1" applyFont="1" applyFill="1" applyBorder="1" applyAlignment="1">
      <alignment horizontal="right"/>
    </xf>
    <xf numFmtId="167" fontId="28" fillId="0" borderId="0" xfId="11" applyNumberFormat="1" applyFont="1" applyFill="1" applyBorder="1" applyAlignment="1">
      <alignment horizontal="right"/>
    </xf>
    <xf numFmtId="0" fontId="28" fillId="0" borderId="0" xfId="3" applyFont="1" applyFill="1" applyBorder="1"/>
    <xf numFmtId="166" fontId="28" fillId="0" borderId="0" xfId="11" applyNumberFormat="1" applyFont="1" applyFill="1" applyBorder="1" applyAlignment="1">
      <alignment horizontal="center"/>
    </xf>
    <xf numFmtId="168" fontId="28" fillId="0" borderId="0" xfId="3" applyNumberFormat="1" applyFont="1" applyFill="1" applyAlignment="1"/>
    <xf numFmtId="168" fontId="28" fillId="0" borderId="0" xfId="3" applyNumberFormat="1" applyFont="1" applyFill="1" applyBorder="1" applyAlignment="1"/>
    <xf numFmtId="169" fontId="28" fillId="0" borderId="0" xfId="3" applyNumberFormat="1" applyFont="1" applyFill="1" applyBorder="1"/>
    <xf numFmtId="40" fontId="28" fillId="0" borderId="0" xfId="11" applyNumberFormat="1" applyFont="1" applyFill="1" applyBorder="1" applyAlignment="1"/>
    <xf numFmtId="9" fontId="28" fillId="0" borderId="0" xfId="9" applyFont="1" applyFill="1"/>
    <xf numFmtId="9" fontId="28" fillId="0" borderId="0" xfId="9" applyFont="1" applyFill="1" applyBorder="1"/>
    <xf numFmtId="9" fontId="28" fillId="0" borderId="0" xfId="9" applyFont="1" applyFill="1" applyBorder="1" applyAlignment="1">
      <alignment horizontal="center"/>
    </xf>
    <xf numFmtId="166" fontId="28" fillId="0" borderId="0" xfId="9" applyNumberFormat="1" applyFont="1" applyFill="1" applyBorder="1"/>
    <xf numFmtId="166" fontId="28" fillId="0" borderId="23" xfId="9" applyNumberFormat="1" applyFont="1" applyFill="1" applyBorder="1"/>
    <xf numFmtId="168" fontId="28" fillId="0" borderId="0" xfId="3" applyNumberFormat="1" applyFont="1" applyFill="1" applyBorder="1" applyAlignment="1">
      <alignment horizontal="center"/>
    </xf>
    <xf numFmtId="37" fontId="30" fillId="0" borderId="0" xfId="3" applyNumberFormat="1" applyFont="1" applyFill="1" applyBorder="1" applyAlignment="1">
      <alignment horizontal="center"/>
    </xf>
    <xf numFmtId="6" fontId="28" fillId="0" borderId="0" xfId="9" applyNumberFormat="1" applyFont="1" applyFill="1" applyBorder="1" applyAlignment="1">
      <alignment horizontal="right"/>
    </xf>
    <xf numFmtId="6" fontId="28" fillId="0" borderId="0" xfId="9" applyNumberFormat="1" applyFont="1" applyFill="1" applyBorder="1" applyAlignment="1">
      <alignment horizontal="center"/>
    </xf>
    <xf numFmtId="164" fontId="28" fillId="0" borderId="0" xfId="9" applyNumberFormat="1" applyFont="1" applyFill="1" applyAlignment="1">
      <alignment horizontal="center"/>
    </xf>
    <xf numFmtId="168" fontId="28" fillId="0" borderId="23" xfId="3" applyNumberFormat="1" applyFont="1" applyFill="1" applyBorder="1" applyAlignment="1"/>
    <xf numFmtId="6" fontId="28" fillId="0" borderId="23" xfId="9" applyNumberFormat="1" applyFont="1" applyFill="1" applyBorder="1" applyAlignment="1">
      <alignment horizontal="right"/>
    </xf>
    <xf numFmtId="6" fontId="28" fillId="0" borderId="23" xfId="9" applyNumberFormat="1" applyFont="1" applyFill="1" applyBorder="1" applyAlignment="1">
      <alignment horizontal="center"/>
    </xf>
    <xf numFmtId="164" fontId="28" fillId="0" borderId="23" xfId="9" applyNumberFormat="1" applyFont="1" applyFill="1" applyBorder="1" applyAlignment="1">
      <alignment horizontal="center"/>
    </xf>
    <xf numFmtId="168" fontId="27" fillId="0" borderId="0" xfId="3" applyNumberFormat="1" applyFont="1" applyFill="1" applyAlignment="1"/>
    <xf numFmtId="168" fontId="27" fillId="0" borderId="0" xfId="3" applyNumberFormat="1" applyFont="1" applyFill="1" applyBorder="1" applyAlignment="1">
      <alignment horizontal="right"/>
    </xf>
    <xf numFmtId="9" fontId="27" fillId="0" borderId="0" xfId="9" applyFont="1" applyFill="1" applyBorder="1"/>
    <xf numFmtId="166" fontId="27" fillId="0" borderId="0" xfId="9" applyNumberFormat="1" applyFont="1" applyFill="1" applyBorder="1"/>
    <xf numFmtId="37" fontId="28" fillId="0" borderId="23" xfId="3" applyNumberFormat="1" applyFont="1" applyFill="1" applyBorder="1" applyAlignment="1">
      <alignment horizontal="left"/>
    </xf>
    <xf numFmtId="9" fontId="28" fillId="0" borderId="23" xfId="9" applyNumberFormat="1" applyFont="1" applyFill="1" applyBorder="1" applyAlignment="1">
      <alignment horizontal="center"/>
    </xf>
    <xf numFmtId="9" fontId="28" fillId="0" borderId="23" xfId="10" applyNumberFormat="1" applyFont="1" applyFill="1" applyBorder="1"/>
    <xf numFmtId="166" fontId="28" fillId="0" borderId="23" xfId="11" applyNumberFormat="1" applyFont="1" applyFill="1" applyBorder="1"/>
    <xf numFmtId="9" fontId="27" fillId="0" borderId="0" xfId="9" applyNumberFormat="1" applyFont="1" applyFill="1" applyBorder="1"/>
    <xf numFmtId="9" fontId="27" fillId="0" borderId="0" xfId="10" applyNumberFormat="1" applyFont="1" applyFill="1" applyBorder="1"/>
    <xf numFmtId="166" fontId="27" fillId="0" borderId="0" xfId="11" applyNumberFormat="1" applyFont="1" applyFill="1" applyBorder="1"/>
    <xf numFmtId="168" fontId="27" fillId="0" borderId="0" xfId="3" applyNumberFormat="1" applyFont="1" applyFill="1" applyBorder="1" applyAlignment="1"/>
    <xf numFmtId="168" fontId="28" fillId="0" borderId="0" xfId="3" applyNumberFormat="1" applyFont="1" applyFill="1" applyAlignment="1">
      <alignment horizontal="center"/>
    </xf>
    <xf numFmtId="37" fontId="30" fillId="0" borderId="0" xfId="3" applyNumberFormat="1" applyFont="1" applyFill="1" applyAlignment="1">
      <alignment horizontal="center"/>
    </xf>
    <xf numFmtId="166" fontId="28" fillId="0" borderId="0" xfId="11" applyNumberFormat="1" applyFont="1" applyFill="1" applyBorder="1"/>
    <xf numFmtId="37" fontId="28" fillId="0" borderId="0" xfId="3" applyNumberFormat="1" applyFont="1" applyFill="1" applyBorder="1" applyAlignment="1">
      <alignment horizontal="left"/>
    </xf>
    <xf numFmtId="6" fontId="28" fillId="0" borderId="0" xfId="9" applyNumberFormat="1" applyFont="1" applyFill="1" applyBorder="1"/>
    <xf numFmtId="9" fontId="28" fillId="0" borderId="0" xfId="10" applyNumberFormat="1" applyFont="1" applyFill="1" applyBorder="1" applyAlignment="1">
      <alignment horizontal="center"/>
    </xf>
    <xf numFmtId="164" fontId="28" fillId="0" borderId="0" xfId="10" applyNumberFormat="1" applyFont="1" applyFill="1" applyBorder="1"/>
    <xf numFmtId="9" fontId="28" fillId="0" borderId="0" xfId="9" applyNumberFormat="1" applyFont="1" applyFill="1" applyBorder="1"/>
    <xf numFmtId="9" fontId="28" fillId="0" borderId="0" xfId="10" applyNumberFormat="1" applyFont="1" applyFill="1" applyBorder="1"/>
    <xf numFmtId="164" fontId="28" fillId="0" borderId="0" xfId="9" applyNumberFormat="1" applyFont="1" applyFill="1" applyBorder="1"/>
    <xf numFmtId="9" fontId="28" fillId="0" borderId="0" xfId="9" applyFont="1" applyFill="1" applyAlignment="1">
      <alignment horizontal="center"/>
    </xf>
    <xf numFmtId="166" fontId="31" fillId="0" borderId="0" xfId="11" applyNumberFormat="1" applyFont="1" applyFill="1" applyBorder="1"/>
    <xf numFmtId="37" fontId="27" fillId="0" borderId="0" xfId="3" applyNumberFormat="1" applyFont="1" applyFill="1" applyBorder="1" applyAlignment="1">
      <alignment horizontal="right"/>
    </xf>
    <xf numFmtId="166" fontId="28" fillId="0" borderId="0" xfId="3" applyNumberFormat="1" applyFont="1" applyFill="1" applyBorder="1"/>
    <xf numFmtId="37" fontId="28" fillId="0" borderId="0" xfId="3" applyNumberFormat="1" applyFont="1" applyFill="1" applyAlignment="1">
      <alignment horizontal="center"/>
    </xf>
    <xf numFmtId="43" fontId="28" fillId="0" borderId="0" xfId="11" applyNumberFormat="1" applyFont="1" applyFill="1" applyBorder="1"/>
    <xf numFmtId="37" fontId="28" fillId="0" borderId="0" xfId="3" applyNumberFormat="1" applyFont="1" applyFill="1" applyBorder="1" applyAlignment="1"/>
    <xf numFmtId="9" fontId="28" fillId="0" borderId="0" xfId="9" applyNumberFormat="1" applyFont="1" applyFill="1" applyBorder="1" applyAlignment="1">
      <alignment horizontal="center"/>
    </xf>
    <xf numFmtId="38" fontId="28" fillId="0" borderId="0" xfId="11" applyNumberFormat="1" applyFont="1" applyFill="1" applyBorder="1" applyAlignment="1">
      <alignment horizontal="center"/>
    </xf>
    <xf numFmtId="170" fontId="27" fillId="0" borderId="0" xfId="10" applyNumberFormat="1" applyFont="1" applyFill="1" applyBorder="1"/>
    <xf numFmtId="6" fontId="27" fillId="0" borderId="0" xfId="10" applyNumberFormat="1" applyFont="1" applyFill="1"/>
    <xf numFmtId="170" fontId="28" fillId="0" borderId="0" xfId="10" applyNumberFormat="1" applyFont="1" applyFill="1" applyBorder="1"/>
    <xf numFmtId="6" fontId="28" fillId="0" borderId="0" xfId="10" applyNumberFormat="1" applyFont="1" applyFill="1"/>
    <xf numFmtId="38" fontId="28" fillId="0" borderId="0" xfId="10" applyNumberFormat="1" applyFont="1" applyFill="1" applyBorder="1"/>
    <xf numFmtId="37" fontId="28" fillId="0" borderId="23" xfId="3" applyNumberFormat="1" applyFont="1" applyFill="1" applyBorder="1"/>
    <xf numFmtId="38" fontId="28" fillId="0" borderId="23" xfId="10" applyNumberFormat="1" applyFont="1" applyFill="1" applyBorder="1"/>
    <xf numFmtId="38" fontId="27" fillId="0" borderId="0" xfId="10" applyNumberFormat="1" applyFont="1" applyFill="1" applyBorder="1"/>
    <xf numFmtId="171" fontId="28" fillId="0" borderId="0" xfId="3" applyNumberFormat="1" applyFont="1" applyFill="1" applyBorder="1"/>
    <xf numFmtId="37" fontId="27" fillId="0" borderId="1" xfId="3" applyNumberFormat="1" applyFont="1" applyFill="1" applyBorder="1"/>
    <xf numFmtId="6" fontId="27" fillId="0" borderId="3" xfId="10" applyNumberFormat="1" applyFont="1" applyFill="1" applyBorder="1"/>
    <xf numFmtId="164" fontId="27" fillId="0" borderId="6" xfId="9" applyNumberFormat="1" applyFont="1" applyFill="1" applyBorder="1"/>
    <xf numFmtId="6" fontId="28" fillId="0" borderId="0" xfId="10" applyNumberFormat="1" applyFont="1" applyFill="1" applyBorder="1"/>
    <xf numFmtId="37" fontId="29" fillId="0" borderId="0" xfId="3" applyNumberFormat="1" applyFont="1" applyFill="1"/>
    <xf numFmtId="37" fontId="28" fillId="0" borderId="0" xfId="3" applyNumberFormat="1" applyFont="1" applyFill="1" applyAlignment="1">
      <alignment horizontal="center" vertical="center"/>
    </xf>
    <xf numFmtId="37" fontId="27" fillId="0" borderId="0" xfId="3" quotePrefix="1" applyNumberFormat="1" applyFont="1" applyFill="1" applyBorder="1"/>
    <xf numFmtId="164" fontId="28" fillId="0" borderId="0" xfId="9" applyNumberFormat="1" applyFont="1" applyFill="1"/>
    <xf numFmtId="37" fontId="13" fillId="0" borderId="0" xfId="3" applyNumberFormat="1" applyFont="1" applyFill="1"/>
    <xf numFmtId="0" fontId="32" fillId="0" borderId="0" xfId="3" applyFont="1"/>
    <xf numFmtId="37" fontId="13" fillId="0" borderId="0" xfId="3" applyNumberFormat="1" applyFont="1" applyFill="1" applyBorder="1"/>
    <xf numFmtId="37" fontId="33" fillId="0" borderId="31" xfId="3" applyNumberFormat="1" applyFont="1" applyFill="1" applyBorder="1"/>
    <xf numFmtId="37" fontId="33" fillId="0" borderId="32" xfId="3" applyNumberFormat="1" applyFont="1" applyFill="1" applyBorder="1"/>
    <xf numFmtId="37" fontId="34" fillId="0" borderId="33" xfId="3" applyNumberFormat="1" applyFont="1" applyFill="1" applyBorder="1"/>
    <xf numFmtId="37" fontId="24" fillId="0" borderId="0" xfId="3" applyNumberFormat="1" applyFont="1" applyFill="1"/>
    <xf numFmtId="37" fontId="33" fillId="0" borderId="27" xfId="3" applyNumberFormat="1" applyFont="1" applyFill="1" applyBorder="1"/>
    <xf numFmtId="37" fontId="33" fillId="0" borderId="0" xfId="3" applyNumberFormat="1" applyFont="1" applyFill="1" applyBorder="1"/>
    <xf numFmtId="37" fontId="34" fillId="0" borderId="28" xfId="3" applyNumberFormat="1" applyFont="1" applyFill="1" applyBorder="1"/>
    <xf numFmtId="37" fontId="13" fillId="2" borderId="1" xfId="3" applyNumberFormat="1" applyFont="1" applyFill="1" applyBorder="1"/>
    <xf numFmtId="37" fontId="13" fillId="2" borderId="2" xfId="3" applyNumberFormat="1" applyFont="1" applyFill="1" applyBorder="1"/>
    <xf numFmtId="37" fontId="13" fillId="2" borderId="3" xfId="3" applyNumberFormat="1" applyFont="1" applyFill="1" applyBorder="1"/>
    <xf numFmtId="37" fontId="13" fillId="2" borderId="12" xfId="3" applyNumberFormat="1" applyFont="1" applyFill="1" applyBorder="1"/>
    <xf numFmtId="37" fontId="13" fillId="2" borderId="0" xfId="3" applyNumberFormat="1" applyFont="1" applyFill="1" applyBorder="1"/>
    <xf numFmtId="37" fontId="13" fillId="2" borderId="10" xfId="3" applyNumberFormat="1" applyFont="1" applyFill="1" applyBorder="1"/>
    <xf numFmtId="37" fontId="35" fillId="0" borderId="27" xfId="3" applyNumberFormat="1" applyFont="1" applyFill="1" applyBorder="1"/>
    <xf numFmtId="0" fontId="4" fillId="0" borderId="0" xfId="3" applyFont="1" applyFill="1"/>
    <xf numFmtId="0" fontId="2" fillId="2" borderId="4" xfId="3" applyFont="1" applyFill="1" applyBorder="1"/>
    <xf numFmtId="0" fontId="2" fillId="2" borderId="5" xfId="3" applyFont="1" applyFill="1" applyBorder="1"/>
    <xf numFmtId="0" fontId="2" fillId="2" borderId="6" xfId="3" applyFont="1" applyFill="1" applyBorder="1"/>
    <xf numFmtId="0" fontId="36" fillId="0" borderId="27" xfId="3" applyFont="1" applyFill="1" applyBorder="1"/>
    <xf numFmtId="0" fontId="36" fillId="0" borderId="0" xfId="3" applyFont="1" applyFill="1" applyBorder="1"/>
    <xf numFmtId="0" fontId="36" fillId="0" borderId="28" xfId="3" applyFont="1" applyFill="1" applyBorder="1"/>
    <xf numFmtId="0" fontId="2" fillId="0" borderId="0" xfId="3" applyFill="1"/>
    <xf numFmtId="0" fontId="4" fillId="0" borderId="0" xfId="3" applyFont="1"/>
    <xf numFmtId="0" fontId="2" fillId="0" borderId="0" xfId="3" applyFont="1"/>
    <xf numFmtId="0" fontId="36" fillId="0" borderId="27" xfId="3" applyFont="1" applyBorder="1"/>
    <xf numFmtId="0" fontId="36" fillId="0" borderId="0" xfId="3" applyFont="1" applyBorder="1"/>
    <xf numFmtId="0" fontId="36" fillId="0" borderId="28" xfId="3" applyFont="1" applyBorder="1"/>
    <xf numFmtId="0" fontId="13" fillId="0" borderId="0" xfId="3" applyFont="1"/>
    <xf numFmtId="0" fontId="2" fillId="2" borderId="1" xfId="3" applyFont="1" applyFill="1" applyBorder="1"/>
    <xf numFmtId="0" fontId="2" fillId="2" borderId="2" xfId="3" applyFont="1" applyFill="1" applyBorder="1"/>
    <xf numFmtId="0" fontId="2" fillId="2" borderId="3" xfId="3" applyFont="1" applyFill="1" applyBorder="1"/>
    <xf numFmtId="0" fontId="2" fillId="2" borderId="12" xfId="3" applyFont="1" applyFill="1" applyBorder="1"/>
    <xf numFmtId="0" fontId="2" fillId="2" borderId="0" xfId="3" applyFont="1" applyFill="1" applyBorder="1"/>
    <xf numFmtId="0" fontId="2" fillId="2" borderId="10" xfId="3" applyFont="1" applyFill="1" applyBorder="1"/>
    <xf numFmtId="0" fontId="11" fillId="2" borderId="34" xfId="3" applyFont="1" applyFill="1" applyBorder="1" applyAlignment="1">
      <alignment horizontal="center"/>
    </xf>
    <xf numFmtId="0" fontId="11" fillId="2" borderId="9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/>
    </xf>
    <xf numFmtId="0" fontId="37" fillId="2" borderId="1" xfId="3" applyFont="1" applyFill="1" applyBorder="1" applyAlignment="1">
      <alignment horizontal="center"/>
    </xf>
    <xf numFmtId="0" fontId="37" fillId="2" borderId="3" xfId="3" applyFont="1" applyFill="1" applyBorder="1" applyAlignment="1">
      <alignment horizontal="center"/>
    </xf>
    <xf numFmtId="6" fontId="2" fillId="2" borderId="12" xfId="3" applyNumberFormat="1" applyFont="1" applyFill="1" applyBorder="1"/>
    <xf numFmtId="164" fontId="2" fillId="2" borderId="10" xfId="3" applyNumberFormat="1" applyFont="1" applyFill="1" applyBorder="1"/>
    <xf numFmtId="172" fontId="11" fillId="2" borderId="12" xfId="10" applyNumberFormat="1" applyFont="1" applyFill="1" applyBorder="1"/>
    <xf numFmtId="164" fontId="11" fillId="2" borderId="10" xfId="3" applyNumberFormat="1" applyFont="1" applyFill="1" applyBorder="1"/>
    <xf numFmtId="6" fontId="2" fillId="2" borderId="4" xfId="3" applyNumberFormat="1" applyFont="1" applyFill="1" applyBorder="1"/>
    <xf numFmtId="164" fontId="2" fillId="2" borderId="6" xfId="3" applyNumberFormat="1" applyFont="1" applyFill="1" applyBorder="1"/>
    <xf numFmtId="172" fontId="11" fillId="2" borderId="4" xfId="10" applyNumberFormat="1" applyFont="1" applyFill="1" applyBorder="1"/>
    <xf numFmtId="164" fontId="11" fillId="2" borderId="6" xfId="3" applyNumberFormat="1" applyFont="1" applyFill="1" applyBorder="1"/>
    <xf numFmtId="0" fontId="38" fillId="0" borderId="27" xfId="3" applyFont="1" applyBorder="1"/>
    <xf numFmtId="0" fontId="2" fillId="13" borderId="12" xfId="3" applyFill="1" applyBorder="1"/>
    <xf numFmtId="0" fontId="2" fillId="0" borderId="12" xfId="3" applyBorder="1"/>
    <xf numFmtId="0" fontId="36" fillId="0" borderId="29" xfId="3" applyFont="1" applyBorder="1"/>
    <xf numFmtId="0" fontId="36" fillId="0" borderId="23" xfId="3" applyFont="1" applyBorder="1"/>
    <xf numFmtId="0" fontId="36" fillId="0" borderId="30" xfId="3" applyFont="1" applyBorder="1"/>
    <xf numFmtId="0" fontId="36" fillId="0" borderId="0" xfId="7" applyFont="1"/>
    <xf numFmtId="0" fontId="41" fillId="0" borderId="0" xfId="0" applyFont="1"/>
    <xf numFmtId="0" fontId="44" fillId="0" borderId="0" xfId="0" applyFont="1" applyBorder="1"/>
    <xf numFmtId="0" fontId="43" fillId="0" borderId="0" xfId="0" applyFont="1" applyBorder="1"/>
    <xf numFmtId="0" fontId="32" fillId="0" borderId="31" xfId="0" applyFont="1" applyBorder="1"/>
    <xf numFmtId="0" fontId="13" fillId="0" borderId="32" xfId="0" applyFont="1" applyBorder="1"/>
    <xf numFmtId="0" fontId="13" fillId="0" borderId="33" xfId="0" applyFont="1" applyBorder="1"/>
    <xf numFmtId="0" fontId="32" fillId="0" borderId="27" xfId="0" applyFont="1" applyBorder="1"/>
    <xf numFmtId="0" fontId="42" fillId="0" borderId="0" xfId="7" applyFont="1" applyFill="1" applyBorder="1"/>
    <xf numFmtId="0" fontId="13" fillId="0" borderId="0" xfId="0" applyFont="1" applyBorder="1"/>
    <xf numFmtId="0" fontId="13" fillId="0" borderId="28" xfId="0" applyFont="1" applyBorder="1"/>
    <xf numFmtId="0" fontId="32" fillId="0" borderId="29" xfId="0" applyFont="1" applyBorder="1"/>
    <xf numFmtId="0" fontId="13" fillId="0" borderId="23" xfId="0" applyFont="1" applyBorder="1"/>
    <xf numFmtId="0" fontId="13" fillId="0" borderId="30" xfId="0" applyFont="1" applyBorder="1"/>
    <xf numFmtId="3" fontId="45" fillId="0" borderId="0" xfId="7" applyNumberFormat="1" applyFont="1"/>
    <xf numFmtId="44" fontId="45" fillId="0" borderId="0" xfId="1" applyFont="1"/>
    <xf numFmtId="0" fontId="45" fillId="0" borderId="0" xfId="7" applyFont="1"/>
    <xf numFmtId="0" fontId="46" fillId="0" borderId="0" xfId="7" applyFont="1"/>
    <xf numFmtId="0" fontId="47" fillId="0" borderId="0" xfId="7" applyFont="1"/>
  </cellXfs>
  <cellStyles count="14">
    <cellStyle name="Comma 2" xfId="11"/>
    <cellStyle name="Currency" xfId="1" builtinId="4"/>
    <cellStyle name="Currency 2" xfId="2"/>
    <cellStyle name="Currency 3" xfId="10"/>
    <cellStyle name="Followed Hyperlink" xfId="13" builtinId="9" hidden="1"/>
    <cellStyle name="Hyperlink" xfId="12" builtinId="8" hidden="1"/>
    <cellStyle name="Normal" xfId="0" builtinId="0"/>
    <cellStyle name="Normal 2" xfId="3"/>
    <cellStyle name="Normal 2 2" xfId="4"/>
    <cellStyle name="Normal 2_Copy in NWC sheets for Ch 6 (version 1).xls" xfId="5"/>
    <cellStyle name="Normal 3" xfId="6"/>
    <cellStyle name="Normal_FA Template Set 2009" xfId="7"/>
    <cellStyle name="Percent" xfId="8" builtinId="5"/>
    <cellStyle name="Percent 2" xfId="9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EBIT CHART</a:t>
            </a:r>
          </a:p>
        </c:rich>
      </c:tx>
      <c:layout>
        <c:manualLayout>
          <c:xMode val="edge"/>
          <c:yMode val="edge"/>
          <c:x val="0.40594068507934011"/>
          <c:y val="4.00000000000000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31683168316802"/>
          <c:y val="0.24499955139242308"/>
          <c:w val="0.59900990099009899"/>
          <c:h val="0.50499907531907617"/>
        </c:manualLayout>
      </c:layout>
      <c:lineChart>
        <c:grouping val="standard"/>
        <c:ser>
          <c:idx val="0"/>
          <c:order val="0"/>
          <c:tx>
            <c:strRef>
              <c:f>'Debt vs Equity Financing'!$B$44</c:f>
              <c:strCache>
                <c:ptCount val="1"/>
                <c:pt idx="0">
                  <c:v>debt EPS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'Debt vs Equity Financing'!$C$44:$D$44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'Debt vs Equity Financing'!$B$45</c:f>
              <c:strCache>
                <c:ptCount val="1"/>
                <c:pt idx="0">
                  <c:v>equity EPS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'Debt vs Equity Financing'!$C$43:$D$43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'Debt vs Equity Financing'!$C$45:$D$45</c:f>
              <c:numCache>
                <c:formatCode>"$"#,##0.00_);\("$"#,##0.00\)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/>
        <c:marker val="1"/>
        <c:axId val="90218496"/>
        <c:axId val="90220416"/>
      </c:lineChart>
      <c:catAx>
        <c:axId val="9021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EBIT</a:t>
                </a:r>
              </a:p>
            </c:rich>
          </c:tx>
          <c:layout>
            <c:manualLayout>
              <c:xMode val="edge"/>
              <c:yMode val="edge"/>
              <c:x val="0.43316839202206309"/>
              <c:y val="0.85999842519685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20416"/>
        <c:crosses val="autoZero"/>
        <c:auto val="1"/>
        <c:lblAlgn val="ctr"/>
        <c:lblOffset val="100"/>
        <c:tickLblSkip val="1"/>
        <c:tickMarkSkip val="1"/>
      </c:catAx>
      <c:valAx>
        <c:axId val="90220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EPS</a:t>
                </a:r>
              </a:p>
            </c:rich>
          </c:tx>
          <c:layout>
            <c:manualLayout>
              <c:xMode val="edge"/>
              <c:yMode val="edge"/>
              <c:x val="3.2178144610096306E-2"/>
              <c:y val="0.434999212598425"/>
            </c:manualLayout>
          </c:layout>
          <c:spPr>
            <a:noFill/>
            <a:ln w="25400">
              <a:noFill/>
            </a:ln>
          </c:spPr>
        </c:title>
        <c:numFmt formatCode="&quot;$&quot;#,##0.00_);\(&quot;$&quot;#,##0.00\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1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6395939086291"/>
          <c:y val="0.60500000000000009"/>
          <c:w val="0.20050761421319799"/>
          <c:h val="0.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0" orientation="landscape" horizontalDpi="-4" verticalDpi="-4"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091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2092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2093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2094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2095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2096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2097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2098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2099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2100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2101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2102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2103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2104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3121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3122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3123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3124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3125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3126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3127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3128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3129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3130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3131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3132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3133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3134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3135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3136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27</xdr:row>
      <xdr:rowOff>50800</xdr:rowOff>
    </xdr:from>
    <xdr:to>
      <xdr:col>4</xdr:col>
      <xdr:colOff>381000</xdr:colOff>
      <xdr:row>40</xdr:row>
      <xdr:rowOff>114300</xdr:rowOff>
    </xdr:to>
    <xdr:graphicFrame macro="">
      <xdr:nvGraphicFramePr>
        <xdr:cNvPr id="4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cohen/000/HCMBA/MBAD%206234%20SUM%2013/Wk5/Revised%20case%20exhibit%20-%20big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TAC%20STUDENT%20-%20U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cohen/000/HCMBA/MBAD%206234%20SUM%2013/Wk4/TN%20sheet%20UVa%20LTA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Ex"/>
    </sheetNames>
    <sheetDataSet>
      <sheetData sheetId="0">
        <row r="4">
          <cell r="E4" t="str">
            <v>Results-No NWC Recovery</v>
          </cell>
        </row>
        <row r="5">
          <cell r="E5" t="str">
            <v>NPV</v>
          </cell>
        </row>
        <row r="10">
          <cell r="C10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TAC Financial Projections"/>
      <sheetName val="Comparables and WACC "/>
      <sheetName val="Bonds and US Treasuries "/>
    </sheetNames>
    <sheetDataSet>
      <sheetData sheetId="0"/>
      <sheetData sheetId="1"/>
      <sheetData sheetId="2"/>
      <sheetData sheetId="3">
        <row r="4">
          <cell r="F4">
            <v>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WACC of Comparables (TN1)"/>
      <sheetName val="Cash Flow Projections (TN2)"/>
      <sheetName val="NPV and IRR Sensitivity (TN3)"/>
      <sheetName val="Bonds and U.S. Treasuries "/>
    </sheetNames>
    <sheetDataSet>
      <sheetData sheetId="0" refreshError="1"/>
      <sheetData sheetId="1">
        <row r="3">
          <cell r="D3">
            <v>4.7199999999999999E-2</v>
          </cell>
        </row>
        <row r="4">
          <cell r="D4">
            <v>0.35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opLeftCell="A28" zoomScale="125" workbookViewId="0">
      <selection activeCell="C20" sqref="C20:K27"/>
    </sheetView>
  </sheetViews>
  <sheetFormatPr defaultColWidth="11.42578125" defaultRowHeight="12.75"/>
  <cols>
    <col min="10" max="10" width="11.85546875" customWidth="1"/>
  </cols>
  <sheetData>
    <row r="1" spans="1:9" ht="15">
      <c r="A1" s="148" t="s">
        <v>68</v>
      </c>
      <c r="B1" s="148"/>
    </row>
    <row r="2" spans="1:9" ht="15">
      <c r="B2" t="s">
        <v>64</v>
      </c>
      <c r="F2" s="149" t="s">
        <v>68</v>
      </c>
      <c r="G2" s="150" t="s">
        <v>172</v>
      </c>
    </row>
    <row r="3" spans="1:9" ht="15">
      <c r="A3" s="148" t="s">
        <v>65</v>
      </c>
      <c r="F3" s="149" t="s">
        <v>68</v>
      </c>
    </row>
    <row r="4" spans="1:9" ht="15">
      <c r="B4">
        <v>1</v>
      </c>
      <c r="C4" t="s">
        <v>66</v>
      </c>
      <c r="I4" s="149" t="s">
        <v>341</v>
      </c>
    </row>
    <row r="5" spans="1:9">
      <c r="B5">
        <v>2</v>
      </c>
      <c r="C5" t="s">
        <v>67</v>
      </c>
      <c r="I5" s="337" t="s">
        <v>342</v>
      </c>
    </row>
    <row r="6" spans="1:9">
      <c r="B6">
        <v>3</v>
      </c>
      <c r="C6" t="s">
        <v>159</v>
      </c>
    </row>
    <row r="7" spans="1:9">
      <c r="C7" t="s">
        <v>160</v>
      </c>
      <c r="I7" t="s">
        <v>68</v>
      </c>
    </row>
    <row r="8" spans="1:9">
      <c r="C8" t="s">
        <v>161</v>
      </c>
      <c r="I8" t="s">
        <v>68</v>
      </c>
    </row>
    <row r="9" spans="1:9">
      <c r="C9" t="s">
        <v>162</v>
      </c>
    </row>
    <row r="10" spans="1:9" ht="15">
      <c r="B10">
        <v>4</v>
      </c>
      <c r="C10" t="s">
        <v>163</v>
      </c>
      <c r="H10" s="150" t="s">
        <v>3</v>
      </c>
    </row>
    <row r="11" spans="1:9">
      <c r="D11" s="337" t="s">
        <v>354</v>
      </c>
    </row>
    <row r="12" spans="1:9" ht="15">
      <c r="A12" s="148" t="s">
        <v>164</v>
      </c>
      <c r="B12" t="s">
        <v>68</v>
      </c>
      <c r="C12" t="s">
        <v>68</v>
      </c>
    </row>
    <row r="13" spans="1:9">
      <c r="B13">
        <v>1</v>
      </c>
      <c r="C13" t="s">
        <v>4</v>
      </c>
    </row>
    <row r="14" spans="1:9">
      <c r="B14">
        <v>2</v>
      </c>
      <c r="C14" t="s">
        <v>343</v>
      </c>
    </row>
    <row r="15" spans="1:9">
      <c r="C15" t="s">
        <v>68</v>
      </c>
    </row>
    <row r="16" spans="1:9" ht="15">
      <c r="A16" s="148" t="s">
        <v>165</v>
      </c>
      <c r="C16" t="s">
        <v>344</v>
      </c>
    </row>
    <row r="17" spans="1:14" ht="15">
      <c r="A17" s="148"/>
      <c r="C17" t="s">
        <v>345</v>
      </c>
    </row>
    <row r="18" spans="1:14" ht="15">
      <c r="A18" t="s">
        <v>68</v>
      </c>
      <c r="B18" t="s">
        <v>68</v>
      </c>
      <c r="C18" t="s">
        <v>346</v>
      </c>
      <c r="J18" s="150" t="s">
        <v>68</v>
      </c>
    </row>
    <row r="19" spans="1:14">
      <c r="B19" t="s">
        <v>68</v>
      </c>
      <c r="G19" s="337" t="s">
        <v>353</v>
      </c>
    </row>
    <row r="20" spans="1:14" ht="14.25">
      <c r="B20" s="159">
        <v>1</v>
      </c>
      <c r="C20" s="43" t="s">
        <v>0</v>
      </c>
      <c r="M20" t="s">
        <v>68</v>
      </c>
    </row>
    <row r="21" spans="1:14" ht="14.25">
      <c r="A21" t="s">
        <v>166</v>
      </c>
      <c r="B21" s="159"/>
      <c r="C21" s="43" t="s">
        <v>119</v>
      </c>
    </row>
    <row r="22" spans="1:14" ht="14.25">
      <c r="A22" t="s">
        <v>68</v>
      </c>
      <c r="B22" s="159">
        <v>2</v>
      </c>
      <c r="C22" s="43" t="s">
        <v>347</v>
      </c>
    </row>
    <row r="23" spans="1:14" ht="14.25">
      <c r="B23" s="159"/>
      <c r="C23" s="43" t="s">
        <v>120</v>
      </c>
    </row>
    <row r="24" spans="1:14" ht="14.25">
      <c r="B24" s="159">
        <v>3</v>
      </c>
      <c r="C24" s="43" t="s">
        <v>1</v>
      </c>
      <c r="N24" s="151"/>
    </row>
    <row r="25" spans="1:14" ht="14.25">
      <c r="B25" s="159">
        <v>4</v>
      </c>
      <c r="C25" s="43" t="s">
        <v>348</v>
      </c>
      <c r="N25" s="151"/>
    </row>
    <row r="26" spans="1:14" ht="14.25">
      <c r="C26" s="43" t="s">
        <v>352</v>
      </c>
      <c r="N26" s="151"/>
    </row>
    <row r="27" spans="1:14">
      <c r="N27" s="151"/>
    </row>
    <row r="28" spans="1:14" ht="15">
      <c r="B28" s="340" t="s">
        <v>29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2"/>
    </row>
    <row r="29" spans="1:14" ht="15">
      <c r="B29" s="343"/>
      <c r="C29" s="344" t="s">
        <v>349</v>
      </c>
      <c r="D29" s="345"/>
      <c r="E29" s="345"/>
      <c r="F29" s="345"/>
      <c r="G29" s="345"/>
      <c r="H29" s="345"/>
      <c r="I29" s="345"/>
      <c r="J29" s="345"/>
      <c r="K29" s="345"/>
      <c r="L29" s="346"/>
    </row>
    <row r="30" spans="1:14" ht="15">
      <c r="B30" s="343"/>
      <c r="C30" s="345"/>
      <c r="D30" s="345"/>
      <c r="E30" s="345"/>
      <c r="F30" s="345"/>
      <c r="G30" s="345"/>
      <c r="H30" s="345"/>
      <c r="I30" s="345"/>
      <c r="J30" s="345"/>
      <c r="K30" s="345"/>
      <c r="L30" s="346"/>
    </row>
    <row r="31" spans="1:14" ht="15">
      <c r="B31" s="343" t="s">
        <v>351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6"/>
    </row>
    <row r="32" spans="1:14" ht="15">
      <c r="B32" s="347" t="s">
        <v>350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9"/>
    </row>
    <row r="33" spans="2:10">
      <c r="B33" s="339"/>
      <c r="C33" s="338"/>
      <c r="D33" s="338"/>
      <c r="E33" s="338"/>
      <c r="F33" s="338"/>
      <c r="G33" s="338"/>
      <c r="H33" s="338"/>
      <c r="I33" s="338"/>
      <c r="J33" s="338"/>
    </row>
    <row r="34" spans="2:10" ht="15">
      <c r="B34" s="149" t="s">
        <v>173</v>
      </c>
    </row>
    <row r="35" spans="2:10" ht="15">
      <c r="B35" s="149" t="s">
        <v>167</v>
      </c>
    </row>
    <row r="36" spans="2:10" ht="15">
      <c r="B36" s="149" t="s">
        <v>168</v>
      </c>
      <c r="C36" s="149"/>
      <c r="D36" s="149"/>
      <c r="E36" s="149"/>
      <c r="F36" s="149"/>
    </row>
    <row r="37" spans="2:10" ht="15">
      <c r="B37" s="149" t="s">
        <v>169</v>
      </c>
      <c r="C37" s="149"/>
      <c r="D37" s="149"/>
      <c r="E37" s="149"/>
      <c r="F37" s="149"/>
    </row>
    <row r="38" spans="2:10" ht="15">
      <c r="B38" s="149" t="s">
        <v>170</v>
      </c>
      <c r="C38" s="149"/>
      <c r="D38" s="149"/>
      <c r="E38" s="149"/>
      <c r="F38" s="149"/>
    </row>
    <row r="39" spans="2:10" ht="15">
      <c r="B39" s="149" t="s">
        <v>171</v>
      </c>
      <c r="C39" s="149"/>
      <c r="D39" s="149"/>
      <c r="E39" s="149"/>
      <c r="F39" s="149"/>
    </row>
    <row r="40" spans="2:10" ht="15">
      <c r="B40" s="149" t="s">
        <v>174</v>
      </c>
      <c r="C40" s="149"/>
      <c r="D40" s="149"/>
      <c r="E40" s="149"/>
      <c r="F40" s="149"/>
    </row>
  </sheetData>
  <phoneticPr fontId="1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J37"/>
  <sheetViews>
    <sheetView workbookViewId="0"/>
  </sheetViews>
  <sheetFormatPr defaultColWidth="8.85546875" defaultRowHeight="12.75"/>
  <cols>
    <col min="1" max="1" width="26" style="58" customWidth="1"/>
    <col min="2" max="2" width="3.42578125" style="58" customWidth="1"/>
    <col min="3" max="3" width="27" style="58" customWidth="1"/>
    <col min="4" max="4" width="37" style="58" customWidth="1"/>
    <col min="5" max="5" width="5.85546875" style="58" customWidth="1"/>
    <col min="6" max="6" width="34.7109375" style="58" customWidth="1"/>
    <col min="7" max="16384" width="8.85546875" style="58"/>
  </cols>
  <sheetData>
    <row r="1" spans="1:10" ht="16.5" thickBot="1">
      <c r="A1" s="53" t="s">
        <v>18</v>
      </c>
      <c r="B1" s="54"/>
      <c r="C1" s="55" t="s">
        <v>19</v>
      </c>
      <c r="D1" s="56"/>
      <c r="E1" s="54"/>
      <c r="F1" s="57" t="s">
        <v>20</v>
      </c>
      <c r="G1" s="54"/>
      <c r="H1" s="54"/>
      <c r="I1" s="54"/>
      <c r="J1" s="54"/>
    </row>
    <row r="2" spans="1:10" ht="16.5" thickBot="1">
      <c r="A2" s="59" t="s">
        <v>21</v>
      </c>
      <c r="B2" s="54"/>
      <c r="C2" s="60" t="s">
        <v>22</v>
      </c>
      <c r="D2" s="61" t="s">
        <v>23</v>
      </c>
      <c r="E2" s="54"/>
      <c r="F2" s="62" t="s">
        <v>24</v>
      </c>
      <c r="G2" s="54"/>
      <c r="H2" s="54"/>
      <c r="I2" s="54"/>
      <c r="J2" s="54"/>
    </row>
    <row r="3" spans="1:10" ht="15.75">
      <c r="A3" s="63" t="s">
        <v>25</v>
      </c>
      <c r="B3" s="54"/>
      <c r="C3" s="64" t="s">
        <v>26</v>
      </c>
      <c r="D3" s="65" t="s">
        <v>27</v>
      </c>
      <c r="E3" s="54"/>
      <c r="F3" s="57" t="s">
        <v>28</v>
      </c>
      <c r="G3" s="54"/>
      <c r="H3" s="54"/>
      <c r="I3" s="54"/>
      <c r="J3" s="54"/>
    </row>
    <row r="4" spans="1:10" ht="15">
      <c r="A4" s="66" t="s">
        <v>121</v>
      </c>
      <c r="B4" s="54"/>
      <c r="C4" s="67" t="s">
        <v>122</v>
      </c>
      <c r="D4" s="68" t="s">
        <v>123</v>
      </c>
      <c r="E4" s="54"/>
      <c r="F4" s="69" t="s">
        <v>124</v>
      </c>
      <c r="G4" s="54"/>
      <c r="H4" s="54"/>
      <c r="I4" s="54"/>
      <c r="J4" s="54"/>
    </row>
    <row r="5" spans="1:10" ht="15">
      <c r="A5" s="66" t="s">
        <v>125</v>
      </c>
      <c r="B5" s="54"/>
      <c r="C5" s="67" t="s">
        <v>126</v>
      </c>
      <c r="D5" s="68" t="s">
        <v>127</v>
      </c>
      <c r="E5" s="54"/>
      <c r="F5" s="69" t="s">
        <v>128</v>
      </c>
      <c r="G5" s="54"/>
      <c r="H5" s="54"/>
      <c r="I5" s="54"/>
      <c r="J5" s="54"/>
    </row>
    <row r="6" spans="1:10" ht="15">
      <c r="A6" s="63" t="s">
        <v>129</v>
      </c>
      <c r="B6" s="54"/>
      <c r="C6" s="70" t="s">
        <v>130</v>
      </c>
      <c r="D6" s="71" t="s">
        <v>131</v>
      </c>
      <c r="E6" s="54"/>
      <c r="F6" s="72" t="s">
        <v>132</v>
      </c>
      <c r="G6" s="54"/>
      <c r="H6" s="54"/>
      <c r="I6" s="54"/>
      <c r="J6" s="54"/>
    </row>
    <row r="7" spans="1:10" ht="15.75" thickBot="1">
      <c r="A7" s="66" t="s">
        <v>133</v>
      </c>
      <c r="B7" s="54"/>
      <c r="C7" s="70" t="s">
        <v>134</v>
      </c>
      <c r="D7" s="71" t="s">
        <v>135</v>
      </c>
      <c r="E7" s="54"/>
      <c r="F7" s="72" t="s">
        <v>136</v>
      </c>
      <c r="G7" s="54"/>
      <c r="H7" s="54"/>
      <c r="I7" s="54"/>
      <c r="J7" s="54"/>
    </row>
    <row r="8" spans="1:10" ht="15.75">
      <c r="A8" s="73" t="s">
        <v>137</v>
      </c>
      <c r="B8" s="54"/>
      <c r="C8" s="74" t="s">
        <v>138</v>
      </c>
      <c r="D8" s="75" t="s">
        <v>139</v>
      </c>
      <c r="E8" s="54"/>
      <c r="F8" s="54"/>
      <c r="G8" s="54"/>
      <c r="H8" s="54"/>
      <c r="I8" s="54"/>
      <c r="J8" s="54"/>
    </row>
    <row r="9" spans="1:10" ht="15">
      <c r="A9" s="76" t="s">
        <v>140</v>
      </c>
      <c r="B9" s="54"/>
      <c r="C9" s="77" t="s">
        <v>141</v>
      </c>
      <c r="D9" s="76" t="s">
        <v>142</v>
      </c>
      <c r="E9" s="54"/>
      <c r="F9" s="54"/>
      <c r="G9" s="54"/>
      <c r="H9" s="54"/>
      <c r="I9" s="54"/>
      <c r="J9" s="54"/>
    </row>
    <row r="10" spans="1:10" ht="15">
      <c r="A10" s="66" t="s">
        <v>109</v>
      </c>
      <c r="B10" s="54"/>
      <c r="C10" s="77" t="s">
        <v>143</v>
      </c>
      <c r="D10" s="76" t="s">
        <v>144</v>
      </c>
      <c r="E10" s="54"/>
      <c r="F10" s="54" t="s">
        <v>145</v>
      </c>
      <c r="G10" s="54"/>
      <c r="H10" s="54"/>
      <c r="I10" s="54"/>
      <c r="J10" s="54"/>
    </row>
    <row r="11" spans="1:10" ht="15.75" thickBot="1">
      <c r="A11" s="66" t="s">
        <v>93</v>
      </c>
      <c r="B11" s="54"/>
      <c r="C11" s="78" t="s">
        <v>146</v>
      </c>
      <c r="D11" s="76" t="s">
        <v>147</v>
      </c>
      <c r="E11" s="54" t="s">
        <v>68</v>
      </c>
      <c r="F11" s="54"/>
      <c r="G11" s="54"/>
      <c r="H11" s="54"/>
      <c r="I11" s="54"/>
      <c r="J11" s="54"/>
    </row>
    <row r="12" spans="1:10" ht="16.5" thickBot="1">
      <c r="A12" s="73" t="s">
        <v>148</v>
      </c>
      <c r="B12" s="54"/>
      <c r="C12" s="79"/>
      <c r="D12" s="80" t="s">
        <v>149</v>
      </c>
      <c r="E12" s="54"/>
      <c r="F12" s="54"/>
      <c r="G12" s="54"/>
      <c r="H12" s="54"/>
      <c r="I12" s="54"/>
      <c r="J12" s="54"/>
    </row>
    <row r="13" spans="1:10" ht="15.75" thickBot="1">
      <c r="A13" s="66" t="s">
        <v>150</v>
      </c>
      <c r="B13" s="54"/>
      <c r="C13" s="79" t="s">
        <v>68</v>
      </c>
      <c r="D13" s="81" t="s">
        <v>68</v>
      </c>
      <c r="E13" s="54"/>
      <c r="F13" s="82" t="s">
        <v>151</v>
      </c>
      <c r="G13" s="54"/>
      <c r="H13" s="54"/>
      <c r="I13" s="54"/>
      <c r="J13" s="54"/>
    </row>
    <row r="14" spans="1:10" ht="16.5" thickBot="1">
      <c r="A14" s="83" t="s">
        <v>152</v>
      </c>
      <c r="B14" s="54"/>
      <c r="C14" s="79"/>
      <c r="D14" s="75" t="s">
        <v>153</v>
      </c>
      <c r="E14" s="54"/>
      <c r="F14" s="54"/>
      <c r="G14" s="54"/>
      <c r="H14" s="54"/>
      <c r="I14" s="54"/>
      <c r="J14" s="54"/>
    </row>
    <row r="15" spans="1:10" ht="12" customHeight="1">
      <c r="A15" s="84"/>
      <c r="B15" s="54"/>
      <c r="C15" s="79"/>
      <c r="D15" s="76" t="s">
        <v>154</v>
      </c>
      <c r="E15" s="54"/>
      <c r="F15" s="54"/>
      <c r="G15" s="54"/>
      <c r="H15" s="54"/>
      <c r="I15" s="54"/>
      <c r="J15" s="54"/>
    </row>
    <row r="16" spans="1:10" ht="15">
      <c r="A16" s="69" t="s">
        <v>155</v>
      </c>
      <c r="B16" s="54"/>
      <c r="C16" s="79"/>
      <c r="D16" s="76" t="s">
        <v>156</v>
      </c>
      <c r="E16" s="54" t="s">
        <v>68</v>
      </c>
      <c r="F16" s="54" t="s">
        <v>157</v>
      </c>
      <c r="G16" s="54"/>
      <c r="H16" s="54"/>
      <c r="I16" s="54"/>
      <c r="J16" s="54"/>
    </row>
    <row r="17" spans="1:10" ht="15">
      <c r="A17" s="84"/>
      <c r="B17" s="54"/>
      <c r="C17" s="79"/>
      <c r="D17" s="76" t="s">
        <v>158</v>
      </c>
      <c r="E17" s="54"/>
      <c r="F17" s="54" t="s">
        <v>68</v>
      </c>
      <c r="G17" s="54"/>
      <c r="H17" s="54"/>
      <c r="I17" s="54"/>
      <c r="J17" s="54"/>
    </row>
    <row r="18" spans="1:10" ht="15">
      <c r="A18" s="72" t="s">
        <v>31</v>
      </c>
      <c r="B18" s="54"/>
      <c r="C18" s="79"/>
      <c r="D18" s="76" t="s">
        <v>32</v>
      </c>
      <c r="E18" s="54"/>
      <c r="F18" s="85" t="s">
        <v>33</v>
      </c>
      <c r="G18" s="54"/>
      <c r="H18" s="54"/>
      <c r="I18" s="54"/>
      <c r="J18" s="54"/>
    </row>
    <row r="19" spans="1:10" ht="15.75" thickBot="1">
      <c r="A19" s="84"/>
      <c r="B19" s="54"/>
      <c r="C19" s="79"/>
      <c r="D19" s="80" t="s">
        <v>68</v>
      </c>
      <c r="E19" s="54"/>
      <c r="F19" s="86" t="s">
        <v>34</v>
      </c>
      <c r="G19" s="54"/>
      <c r="H19" s="54"/>
      <c r="I19" s="54"/>
      <c r="J19" s="54"/>
    </row>
    <row r="20" spans="1:10" ht="16.5" thickBot="1">
      <c r="A20" s="54"/>
      <c r="B20" s="54"/>
      <c r="C20" s="87" t="s">
        <v>35</v>
      </c>
      <c r="D20" s="88" t="s">
        <v>36</v>
      </c>
      <c r="E20" s="54"/>
      <c r="F20" s="89" t="s">
        <v>37</v>
      </c>
      <c r="G20" s="54"/>
      <c r="H20" s="54"/>
      <c r="I20" s="54"/>
      <c r="J20" s="54"/>
    </row>
    <row r="21" spans="1:10" ht="15">
      <c r="A21" s="54"/>
      <c r="B21" s="54"/>
      <c r="C21" s="54"/>
      <c r="D21" s="54"/>
      <c r="E21" s="54"/>
      <c r="F21" s="54"/>
      <c r="G21" s="54"/>
      <c r="H21" s="54"/>
      <c r="I21" s="54"/>
      <c r="J21" s="54"/>
    </row>
    <row r="22" spans="1:10" ht="15">
      <c r="A22" s="54"/>
      <c r="B22" s="54"/>
      <c r="C22" s="54"/>
      <c r="D22" s="54"/>
      <c r="E22" s="54"/>
      <c r="F22" s="54"/>
      <c r="G22" s="54"/>
      <c r="H22" s="54"/>
      <c r="I22" s="54"/>
      <c r="J22" s="54"/>
    </row>
    <row r="23" spans="1:10" ht="15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5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>
      <c r="A37" s="90"/>
      <c r="B37" s="90"/>
      <c r="C37" s="90"/>
      <c r="D37" s="90"/>
      <c r="E37" s="90"/>
      <c r="F37" s="90"/>
      <c r="G37" s="90"/>
      <c r="H37" s="90"/>
      <c r="I37" s="90"/>
      <c r="J37" s="90"/>
    </row>
  </sheetData>
  <phoneticPr fontId="1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topLeftCell="A22" workbookViewId="0"/>
  </sheetViews>
  <sheetFormatPr defaultColWidth="8.85546875" defaultRowHeight="12.75"/>
  <cols>
    <col min="1" max="1" width="16.7109375" style="58" customWidth="1"/>
    <col min="2" max="2" width="3.42578125" style="58" customWidth="1"/>
    <col min="3" max="3" width="18.42578125" style="58" customWidth="1"/>
    <col min="4" max="4" width="19.140625" style="58" customWidth="1"/>
    <col min="5" max="5" width="17.42578125" style="58" customWidth="1"/>
    <col min="6" max="16384" width="8.85546875" style="58"/>
  </cols>
  <sheetData>
    <row r="1" spans="1:18">
      <c r="A1" s="91" t="s">
        <v>38</v>
      </c>
      <c r="B1" s="92"/>
      <c r="D1" s="93"/>
      <c r="E1" s="93"/>
      <c r="F1" s="94" t="s">
        <v>132</v>
      </c>
      <c r="G1" s="94"/>
      <c r="H1" s="95" t="s">
        <v>39</v>
      </c>
      <c r="I1" s="96"/>
      <c r="J1" s="93"/>
      <c r="K1" s="93"/>
      <c r="L1" s="93"/>
      <c r="M1" s="97"/>
      <c r="N1" s="97"/>
      <c r="O1" s="97"/>
      <c r="P1" s="97"/>
      <c r="Q1" s="97"/>
      <c r="R1" s="97"/>
    </row>
    <row r="2" spans="1:18">
      <c r="A2" s="98" t="s">
        <v>40</v>
      </c>
      <c r="B2" s="99"/>
      <c r="C2" s="93"/>
      <c r="D2" s="93"/>
      <c r="E2" s="93"/>
      <c r="F2" s="93"/>
      <c r="G2" s="100" t="s">
        <v>41</v>
      </c>
      <c r="H2" s="101"/>
      <c r="I2" s="102"/>
      <c r="J2" s="90"/>
      <c r="K2" s="90"/>
      <c r="L2" s="90"/>
      <c r="M2" s="97"/>
      <c r="N2" s="97"/>
      <c r="O2" s="97"/>
      <c r="P2" s="97"/>
      <c r="Q2" s="97"/>
      <c r="R2" s="97"/>
    </row>
    <row r="3" spans="1:18" ht="13.5" thickBot="1">
      <c r="A3" s="103" t="s">
        <v>42</v>
      </c>
      <c r="B3" s="99"/>
      <c r="C3" s="93"/>
      <c r="D3" s="104" t="s">
        <v>43</v>
      </c>
      <c r="E3" s="104" t="s">
        <v>44</v>
      </c>
      <c r="F3" s="100" t="s">
        <v>45</v>
      </c>
      <c r="G3" s="93"/>
      <c r="H3" s="105"/>
      <c r="I3" s="106"/>
      <c r="J3" s="90"/>
      <c r="K3" s="90"/>
      <c r="L3" s="90"/>
      <c r="M3" s="97"/>
      <c r="N3" s="97"/>
      <c r="O3" s="97"/>
      <c r="P3" s="97"/>
      <c r="Q3" s="97"/>
      <c r="R3" s="97"/>
    </row>
    <row r="4" spans="1:18" ht="13.5" thickBot="1">
      <c r="A4" s="107" t="s">
        <v>46</v>
      </c>
      <c r="B4" s="99"/>
      <c r="C4" s="93"/>
      <c r="D4" s="93"/>
      <c r="E4" s="93"/>
      <c r="F4" s="93"/>
      <c r="G4" s="93"/>
      <c r="H4" s="90"/>
      <c r="I4" s="90"/>
      <c r="J4" s="93"/>
      <c r="K4" s="93"/>
      <c r="L4" s="93"/>
      <c r="M4" s="97"/>
      <c r="N4" s="97"/>
      <c r="O4" s="97"/>
      <c r="P4" s="97"/>
      <c r="Q4" s="97"/>
      <c r="R4" s="97"/>
    </row>
    <row r="5" spans="1:18" ht="13.5" thickBot="1">
      <c r="A5" s="98" t="s">
        <v>47</v>
      </c>
      <c r="B5" s="99"/>
      <c r="C5" s="108" t="s">
        <v>48</v>
      </c>
      <c r="D5" s="109" t="s">
        <v>49</v>
      </c>
      <c r="E5" s="110"/>
      <c r="F5" s="93"/>
      <c r="G5" s="100" t="s">
        <v>50</v>
      </c>
      <c r="H5" s="111"/>
      <c r="I5" s="93"/>
      <c r="J5" s="93"/>
      <c r="K5" s="93"/>
      <c r="L5" s="93"/>
      <c r="M5" s="97"/>
      <c r="N5" s="97"/>
      <c r="O5" s="97"/>
      <c r="P5" s="97"/>
      <c r="Q5" s="97"/>
      <c r="R5" s="97"/>
    </row>
    <row r="6" spans="1:18">
      <c r="A6" s="103" t="s">
        <v>51</v>
      </c>
      <c r="B6" s="99"/>
      <c r="C6" s="93"/>
      <c r="D6" s="112"/>
      <c r="E6" s="112"/>
      <c r="F6" s="93"/>
      <c r="G6" s="93"/>
      <c r="H6" s="113" t="s">
        <v>52</v>
      </c>
      <c r="I6" s="114"/>
      <c r="J6" s="93"/>
      <c r="K6" s="93"/>
      <c r="L6" s="93"/>
      <c r="M6" s="97"/>
      <c r="N6" s="97"/>
      <c r="O6" s="97"/>
      <c r="P6" s="97"/>
      <c r="Q6" s="97"/>
      <c r="R6" s="97"/>
    </row>
    <row r="7" spans="1:18">
      <c r="A7" s="115" t="s">
        <v>53</v>
      </c>
      <c r="B7" s="99"/>
      <c r="C7" s="93"/>
      <c r="D7" s="116"/>
      <c r="E7" s="116"/>
      <c r="F7" s="93"/>
      <c r="G7" s="93"/>
      <c r="H7" s="117"/>
      <c r="I7" s="118"/>
      <c r="J7" s="93"/>
      <c r="K7" s="93"/>
      <c r="L7" s="93"/>
      <c r="M7" s="97"/>
      <c r="N7" s="97"/>
      <c r="O7" s="97"/>
      <c r="P7" s="97"/>
      <c r="Q7" s="97"/>
      <c r="R7" s="97"/>
    </row>
    <row r="8" spans="1:18" ht="13.5" thickBot="1">
      <c r="A8" s="119"/>
      <c r="B8" s="119"/>
      <c r="C8" s="93"/>
      <c r="D8" s="116"/>
      <c r="E8" s="116"/>
      <c r="F8" s="93"/>
      <c r="G8" s="93"/>
      <c r="H8" s="120"/>
      <c r="I8" s="121"/>
      <c r="J8" s="93"/>
      <c r="K8" s="93"/>
      <c r="L8" s="93"/>
      <c r="M8" s="97"/>
      <c r="N8" s="97"/>
      <c r="O8" s="97"/>
      <c r="P8" s="97"/>
      <c r="Q8" s="97"/>
      <c r="R8" s="97"/>
    </row>
    <row r="9" spans="1:18" ht="13.5" thickBot="1">
      <c r="A9" s="99"/>
      <c r="B9" s="99"/>
      <c r="C9" s="93"/>
      <c r="D9" s="116"/>
      <c r="E9" s="116"/>
      <c r="F9" s="93"/>
      <c r="G9" s="93"/>
      <c r="H9" s="93"/>
      <c r="I9" s="111"/>
      <c r="J9" s="93"/>
      <c r="K9" s="93"/>
      <c r="L9" s="93"/>
      <c r="M9" s="97"/>
      <c r="N9" s="97"/>
      <c r="O9" s="97"/>
      <c r="P9" s="97"/>
      <c r="Q9" s="97"/>
      <c r="R9" s="97"/>
    </row>
    <row r="10" spans="1:18" ht="13.5" thickBot="1">
      <c r="A10" s="99"/>
      <c r="B10" s="99"/>
      <c r="C10" s="93"/>
      <c r="D10" s="122"/>
      <c r="E10" s="122"/>
      <c r="F10" s="93"/>
      <c r="G10" s="123" t="s">
        <v>54</v>
      </c>
      <c r="H10" s="124" t="s">
        <v>55</v>
      </c>
      <c r="I10" s="124" t="s">
        <v>56</v>
      </c>
      <c r="J10" s="124" t="s">
        <v>57</v>
      </c>
      <c r="K10" s="124" t="s">
        <v>58</v>
      </c>
      <c r="L10" s="125" t="s">
        <v>59</v>
      </c>
      <c r="M10" s="97"/>
      <c r="N10" s="97"/>
      <c r="O10" s="97"/>
      <c r="P10" s="97"/>
      <c r="Q10" s="97"/>
      <c r="R10" s="97"/>
    </row>
    <row r="11" spans="1:18">
      <c r="A11" s="99"/>
      <c r="B11" s="99"/>
      <c r="C11" s="93"/>
      <c r="D11" s="93"/>
      <c r="E11" s="93"/>
      <c r="F11" s="93"/>
      <c r="G11" s="126"/>
      <c r="H11" s="127"/>
      <c r="I11" s="127"/>
      <c r="J11" s="127"/>
      <c r="K11" s="127"/>
      <c r="L11" s="128"/>
      <c r="M11" s="97"/>
      <c r="N11" s="97"/>
      <c r="O11" s="97"/>
      <c r="P11" s="97"/>
      <c r="Q11" s="97"/>
      <c r="R11" s="97"/>
    </row>
    <row r="12" spans="1:18">
      <c r="A12" s="99"/>
      <c r="B12" s="99"/>
      <c r="C12" s="93"/>
      <c r="D12" s="93"/>
      <c r="E12" s="93"/>
      <c r="F12" s="93"/>
      <c r="G12" s="126" t="s">
        <v>68</v>
      </c>
      <c r="H12" s="127"/>
      <c r="I12" s="127"/>
      <c r="J12" s="127"/>
      <c r="K12" s="127"/>
      <c r="L12" s="128"/>
      <c r="M12" s="97"/>
      <c r="N12" s="97"/>
      <c r="O12" s="97"/>
      <c r="P12" s="97"/>
      <c r="Q12" s="97"/>
      <c r="R12" s="97"/>
    </row>
    <row r="13" spans="1:18">
      <c r="A13" s="99"/>
      <c r="B13" s="99"/>
      <c r="C13" s="93"/>
      <c r="D13" s="93"/>
      <c r="E13" s="93"/>
      <c r="F13" s="93"/>
      <c r="G13" s="126"/>
      <c r="H13" s="127"/>
      <c r="I13" s="127"/>
      <c r="J13" s="127"/>
      <c r="K13" s="127"/>
      <c r="L13" s="128"/>
      <c r="M13" s="97"/>
      <c r="N13" s="97"/>
      <c r="O13" s="97"/>
      <c r="P13" s="97"/>
      <c r="Q13" s="97"/>
      <c r="R13" s="97"/>
    </row>
    <row r="14" spans="1:18" ht="13.5" thickBot="1">
      <c r="A14" s="99"/>
      <c r="B14" s="99"/>
      <c r="C14" s="93"/>
      <c r="D14" s="93"/>
      <c r="E14" s="93"/>
      <c r="F14" s="93"/>
      <c r="G14" s="129"/>
      <c r="H14" s="130"/>
      <c r="I14" s="130"/>
      <c r="J14" s="130"/>
      <c r="K14" s="130"/>
      <c r="L14" s="131"/>
      <c r="M14" s="97"/>
      <c r="N14" s="97"/>
      <c r="O14" s="97"/>
      <c r="P14" s="97"/>
      <c r="Q14" s="97"/>
      <c r="R14" s="97"/>
    </row>
    <row r="15" spans="1:18">
      <c r="A15" s="99"/>
      <c r="B15" s="99"/>
      <c r="C15" s="132" t="s">
        <v>124</v>
      </c>
      <c r="D15" s="133" t="s">
        <v>60</v>
      </c>
      <c r="E15" s="134"/>
      <c r="F15" s="93"/>
      <c r="G15" s="93"/>
      <c r="H15" s="93"/>
      <c r="I15" s="93"/>
      <c r="J15" s="93"/>
      <c r="K15" s="93"/>
      <c r="L15" s="93"/>
      <c r="M15" s="97"/>
      <c r="N15" s="97"/>
      <c r="O15" s="97"/>
      <c r="P15" s="97"/>
      <c r="Q15" s="97"/>
      <c r="R15" s="97"/>
    </row>
    <row r="16" spans="1:18">
      <c r="A16" s="90"/>
      <c r="B16" s="90"/>
      <c r="C16" s="93"/>
      <c r="D16" s="135"/>
      <c r="E16" s="136"/>
      <c r="F16" s="93"/>
      <c r="G16" s="93"/>
      <c r="H16" s="93"/>
      <c r="I16" s="93"/>
      <c r="J16" s="93"/>
      <c r="K16" s="93"/>
      <c r="L16" s="93"/>
      <c r="M16" s="97"/>
      <c r="N16" s="97"/>
      <c r="O16" s="97"/>
      <c r="P16" s="97"/>
      <c r="Q16" s="97"/>
      <c r="R16" s="97"/>
    </row>
    <row r="17" spans="1:18">
      <c r="A17" s="90"/>
      <c r="B17" s="90"/>
      <c r="C17" s="93"/>
      <c r="D17" s="135"/>
      <c r="E17" s="136"/>
      <c r="F17" s="93"/>
      <c r="G17" s="93"/>
      <c r="H17" s="93"/>
      <c r="I17" s="93"/>
      <c r="J17" s="93"/>
      <c r="K17" s="93"/>
      <c r="L17" s="93"/>
      <c r="M17" s="97"/>
      <c r="N17" s="97"/>
      <c r="O17" s="97"/>
      <c r="P17" s="97"/>
      <c r="Q17" s="97"/>
      <c r="R17" s="97"/>
    </row>
    <row r="18" spans="1:18">
      <c r="A18" s="90"/>
      <c r="B18" s="90"/>
      <c r="C18" s="93"/>
      <c r="D18" s="135"/>
      <c r="E18" s="136"/>
      <c r="F18" s="93"/>
      <c r="G18" s="93"/>
      <c r="H18" s="93"/>
      <c r="I18" s="93"/>
      <c r="J18" s="93"/>
      <c r="K18" s="93"/>
      <c r="L18" s="93"/>
      <c r="M18" s="97"/>
      <c r="N18" s="97"/>
      <c r="O18" s="97"/>
      <c r="P18" s="97"/>
      <c r="Q18" s="97"/>
      <c r="R18" s="97"/>
    </row>
    <row r="19" spans="1:18">
      <c r="A19" s="90"/>
      <c r="B19" s="90"/>
      <c r="C19" s="93"/>
      <c r="D19" s="135"/>
      <c r="E19" s="136"/>
      <c r="F19" s="93"/>
      <c r="G19" s="93"/>
      <c r="H19" s="93"/>
      <c r="I19" s="93"/>
      <c r="J19" s="93"/>
      <c r="K19" s="93"/>
      <c r="L19" s="93"/>
      <c r="M19" s="97"/>
      <c r="N19" s="97"/>
      <c r="O19" s="97"/>
      <c r="P19" s="97"/>
      <c r="Q19" s="97"/>
      <c r="R19" s="97"/>
    </row>
    <row r="20" spans="1:18" ht="13.5" thickBot="1">
      <c r="A20" s="90"/>
      <c r="B20" s="90"/>
      <c r="C20" s="93"/>
      <c r="D20" s="137"/>
      <c r="E20" s="138"/>
      <c r="F20" s="93"/>
      <c r="G20" s="93"/>
      <c r="H20" s="93"/>
      <c r="I20" s="93"/>
      <c r="J20" s="93"/>
      <c r="K20" s="93"/>
      <c r="L20" s="93"/>
      <c r="M20" s="97"/>
      <c r="N20" s="97"/>
      <c r="O20" s="97"/>
      <c r="P20" s="97"/>
      <c r="Q20" s="97"/>
      <c r="R20" s="97"/>
    </row>
    <row r="21" spans="1:18">
      <c r="A21" s="97"/>
      <c r="B21" s="90"/>
      <c r="C21" s="93"/>
      <c r="D21" s="93"/>
      <c r="E21" s="93"/>
      <c r="F21" s="93"/>
      <c r="G21" s="139" t="s">
        <v>61</v>
      </c>
      <c r="H21" s="140"/>
      <c r="I21" s="93"/>
      <c r="J21" s="93"/>
      <c r="K21" s="93"/>
      <c r="L21" s="93"/>
      <c r="M21" s="97"/>
      <c r="N21" s="97"/>
      <c r="O21" s="97"/>
      <c r="P21" s="97"/>
      <c r="Q21" s="97"/>
      <c r="R21" s="97"/>
    </row>
    <row r="22" spans="1:18">
      <c r="A22" s="97"/>
      <c r="B22" s="90"/>
      <c r="C22" s="93"/>
      <c r="D22" s="93"/>
      <c r="E22" s="93"/>
      <c r="F22" s="93"/>
      <c r="G22" s="141"/>
      <c r="H22" s="142"/>
      <c r="I22" s="93"/>
      <c r="J22" s="93"/>
      <c r="K22" s="93"/>
      <c r="L22" s="93"/>
      <c r="M22" s="97"/>
      <c r="N22" s="97"/>
      <c r="O22" s="97"/>
      <c r="P22" s="97"/>
      <c r="Q22" s="97"/>
      <c r="R22" s="97"/>
    </row>
    <row r="23" spans="1:18">
      <c r="A23" s="97"/>
      <c r="C23" s="93"/>
      <c r="D23" s="93"/>
      <c r="E23" s="93"/>
      <c r="F23" s="93"/>
      <c r="G23" s="141"/>
      <c r="H23" s="142"/>
      <c r="I23" s="93"/>
      <c r="J23" s="93"/>
      <c r="K23" s="93"/>
      <c r="L23" s="93"/>
      <c r="M23" s="97"/>
      <c r="N23" s="97"/>
      <c r="O23" s="97"/>
      <c r="P23" s="97"/>
      <c r="Q23" s="97"/>
      <c r="R23" s="97"/>
    </row>
    <row r="24" spans="1:18" ht="13.5" thickBot="1">
      <c r="A24" s="97"/>
      <c r="B24" s="90"/>
      <c r="C24" s="93"/>
      <c r="D24" s="93"/>
      <c r="E24" s="93"/>
      <c r="F24" s="93"/>
      <c r="G24" s="143"/>
      <c r="H24" s="144"/>
      <c r="I24" s="93"/>
      <c r="J24" s="93"/>
      <c r="K24" s="93"/>
      <c r="L24" s="93"/>
      <c r="M24" s="97"/>
      <c r="N24" s="97"/>
      <c r="O24" s="97"/>
      <c r="P24" s="97"/>
      <c r="Q24" s="97"/>
      <c r="R24" s="97"/>
    </row>
    <row r="25" spans="1:18">
      <c r="A25" s="97"/>
      <c r="B25" s="90"/>
      <c r="C25" s="145" t="s">
        <v>33</v>
      </c>
      <c r="D25" s="146" t="s">
        <v>62</v>
      </c>
      <c r="E25" s="147"/>
      <c r="F25" s="93"/>
      <c r="G25" s="93"/>
      <c r="H25" s="93"/>
      <c r="I25" s="93"/>
      <c r="J25" s="93"/>
      <c r="K25" s="93"/>
      <c r="L25" s="93"/>
      <c r="M25" s="97"/>
      <c r="N25" s="97"/>
      <c r="O25" s="97"/>
      <c r="P25" s="97"/>
      <c r="Q25" s="97"/>
      <c r="R25" s="97"/>
    </row>
    <row r="26" spans="1:18">
      <c r="A26" s="97"/>
      <c r="C26" s="93"/>
      <c r="D26" s="141"/>
      <c r="E26" s="142"/>
      <c r="F26" s="93"/>
      <c r="G26" s="93"/>
      <c r="H26" s="93"/>
      <c r="I26" s="93"/>
      <c r="J26" s="93"/>
      <c r="K26" s="93"/>
      <c r="L26" s="93"/>
      <c r="M26" s="97"/>
      <c r="N26" s="97"/>
      <c r="O26" s="97"/>
      <c r="P26" s="97"/>
      <c r="Q26" s="97"/>
      <c r="R26" s="97"/>
    </row>
    <row r="27" spans="1:18">
      <c r="A27" s="99"/>
      <c r="B27" s="93"/>
      <c r="C27" s="93"/>
      <c r="D27" s="141"/>
      <c r="E27" s="142"/>
      <c r="F27" s="93"/>
      <c r="G27" s="93"/>
      <c r="H27" s="93"/>
      <c r="I27" s="93"/>
      <c r="J27" s="93"/>
      <c r="K27" s="93"/>
      <c r="L27" s="93"/>
      <c r="M27" s="97"/>
      <c r="N27" s="97"/>
      <c r="O27" s="97"/>
      <c r="P27" s="97"/>
      <c r="Q27" s="97"/>
      <c r="R27" s="97"/>
    </row>
    <row r="28" spans="1:18" ht="13.5" thickBot="1">
      <c r="A28" s="93"/>
      <c r="B28" s="93"/>
      <c r="C28" s="93"/>
      <c r="D28" s="143"/>
      <c r="E28" s="144"/>
      <c r="F28" s="93"/>
      <c r="G28" s="93"/>
      <c r="H28" s="93"/>
      <c r="I28" s="93"/>
      <c r="J28" s="93"/>
      <c r="K28" s="93"/>
      <c r="L28" s="93"/>
      <c r="M28" s="97"/>
      <c r="N28" s="97"/>
      <c r="O28" s="97"/>
      <c r="P28" s="97"/>
      <c r="Q28" s="97"/>
      <c r="R28" s="97"/>
    </row>
    <row r="29" spans="1:18" ht="13.5" thickBo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7"/>
      <c r="N29" s="97"/>
      <c r="O29" s="97"/>
      <c r="P29" s="97"/>
      <c r="Q29" s="97"/>
      <c r="R29" s="97"/>
    </row>
    <row r="30" spans="1:18">
      <c r="A30" s="93"/>
      <c r="B30" s="93"/>
      <c r="C30" s="93"/>
      <c r="D30" s="146" t="s">
        <v>63</v>
      </c>
      <c r="E30" s="147"/>
      <c r="F30" s="93"/>
      <c r="G30" s="93"/>
      <c r="H30" s="93"/>
      <c r="I30" s="93"/>
      <c r="J30" s="93"/>
      <c r="K30" s="93"/>
      <c r="L30" s="93"/>
      <c r="M30" s="97"/>
      <c r="N30" s="97"/>
      <c r="O30" s="97"/>
      <c r="P30" s="97"/>
      <c r="Q30" s="97"/>
      <c r="R30" s="97"/>
    </row>
    <row r="31" spans="1:18">
      <c r="A31" s="93"/>
      <c r="B31" s="93"/>
      <c r="C31" s="93"/>
      <c r="D31" s="141"/>
      <c r="E31" s="142"/>
      <c r="F31" s="93"/>
      <c r="G31" s="93"/>
      <c r="H31" s="93"/>
      <c r="I31" s="93"/>
      <c r="J31" s="93"/>
      <c r="K31" s="93"/>
      <c r="L31" s="93"/>
      <c r="M31" s="97"/>
      <c r="N31" s="97"/>
      <c r="O31" s="97"/>
      <c r="P31" s="97"/>
      <c r="Q31" s="97"/>
      <c r="R31" s="97"/>
    </row>
    <row r="32" spans="1:18">
      <c r="A32" s="93"/>
      <c r="B32" s="93"/>
      <c r="C32" s="93"/>
      <c r="D32" s="141"/>
      <c r="E32" s="142"/>
      <c r="F32" s="93"/>
      <c r="G32" s="93"/>
      <c r="H32" s="93"/>
      <c r="I32" s="93"/>
      <c r="J32" s="93"/>
      <c r="K32" s="93"/>
      <c r="L32" s="93"/>
      <c r="M32" s="97"/>
      <c r="N32" s="97"/>
      <c r="O32" s="97"/>
      <c r="P32" s="97"/>
      <c r="Q32" s="97"/>
      <c r="R32" s="97"/>
    </row>
    <row r="33" spans="1:18" ht="13.5" thickBot="1">
      <c r="A33" s="93"/>
      <c r="B33" s="93"/>
      <c r="C33" s="93"/>
      <c r="D33" s="143"/>
      <c r="E33" s="144"/>
      <c r="F33" s="93"/>
      <c r="G33" s="93"/>
      <c r="H33" s="93"/>
      <c r="I33" s="93"/>
      <c r="J33" s="93"/>
      <c r="K33" s="93"/>
      <c r="L33" s="93"/>
      <c r="M33" s="97"/>
      <c r="N33" s="97"/>
      <c r="O33" s="97"/>
      <c r="P33" s="97"/>
      <c r="Q33" s="97"/>
      <c r="R33" s="97"/>
    </row>
    <row r="34" spans="1:18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7"/>
      <c r="N34" s="97"/>
      <c r="O34" s="97"/>
      <c r="P34" s="97"/>
      <c r="Q34" s="97"/>
      <c r="R34" s="97"/>
    </row>
    <row r="35" spans="1:18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</row>
  </sheetData>
  <phoneticPr fontId="1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49"/>
  <sheetViews>
    <sheetView zoomScale="150" zoomScaleNormal="150" zoomScalePageLayoutView="150" workbookViewId="0">
      <selection activeCell="C16" sqref="C16"/>
    </sheetView>
  </sheetViews>
  <sheetFormatPr defaultColWidth="10.85546875" defaultRowHeight="15"/>
  <cols>
    <col min="1" max="1" width="5.140625" style="171" customWidth="1"/>
    <col min="2" max="2" width="37.7109375" style="171" customWidth="1"/>
    <col min="3" max="3" width="10.85546875" style="171"/>
    <col min="4" max="4" width="8" style="171" customWidth="1"/>
    <col min="5" max="5" width="9.28515625" style="171" customWidth="1"/>
    <col min="6" max="16384" width="10.85546875" style="171"/>
  </cols>
  <sheetData>
    <row r="1" spans="1:15" ht="15.75">
      <c r="A1" s="168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70"/>
      <c r="M1" s="170"/>
      <c r="N1" s="170"/>
      <c r="O1" s="170"/>
    </row>
    <row r="2" spans="1:15" ht="15.75">
      <c r="A2" s="168" t="s">
        <v>176</v>
      </c>
      <c r="B2" s="172"/>
      <c r="C2" s="173" t="s">
        <v>177</v>
      </c>
      <c r="D2" s="172"/>
      <c r="E2" s="172"/>
      <c r="F2" s="169"/>
      <c r="G2" s="169"/>
      <c r="H2" s="169"/>
      <c r="I2" s="169"/>
      <c r="J2" s="169"/>
      <c r="K2" s="169"/>
      <c r="L2" s="170"/>
      <c r="M2" s="170"/>
      <c r="N2" s="170"/>
      <c r="O2" s="170"/>
    </row>
    <row r="3" spans="1:15" ht="16.5" thickBot="1">
      <c r="A3" s="168"/>
      <c r="B3" s="172"/>
      <c r="C3" s="172"/>
      <c r="D3" s="172"/>
      <c r="E3" s="172"/>
      <c r="F3" s="169"/>
      <c r="G3" s="169"/>
      <c r="H3" s="169"/>
      <c r="I3" s="169"/>
      <c r="J3" s="169"/>
      <c r="K3" s="169"/>
      <c r="L3" s="170"/>
      <c r="M3" s="170"/>
      <c r="N3" s="170"/>
      <c r="O3" s="170"/>
    </row>
    <row r="4" spans="1:15" ht="15.75">
      <c r="A4" s="170"/>
      <c r="B4" s="174" t="s">
        <v>178</v>
      </c>
      <c r="C4" s="175"/>
      <c r="D4" s="176"/>
      <c r="E4" s="177" t="s">
        <v>179</v>
      </c>
      <c r="F4" s="178"/>
      <c r="G4" s="177" t="s">
        <v>180</v>
      </c>
      <c r="H4" s="178"/>
      <c r="I4" s="169"/>
      <c r="J4" s="169"/>
      <c r="K4" s="169"/>
      <c r="L4" s="170"/>
      <c r="M4" s="170"/>
      <c r="N4" s="170"/>
      <c r="O4" s="170"/>
    </row>
    <row r="5" spans="1:15" ht="15.75">
      <c r="A5" s="170"/>
      <c r="B5" s="179" t="s">
        <v>181</v>
      </c>
      <c r="C5" s="180">
        <v>50</v>
      </c>
      <c r="D5" s="181" t="s">
        <v>182</v>
      </c>
      <c r="E5" s="182" t="s">
        <v>183</v>
      </c>
      <c r="F5" s="183">
        <f>C73</f>
        <v>5687.3549210569163</v>
      </c>
      <c r="G5" s="184" t="s">
        <v>183</v>
      </c>
      <c r="H5" s="183">
        <f>C80</f>
        <v>10424.864582329094</v>
      </c>
      <c r="I5" s="172" t="s">
        <v>184</v>
      </c>
      <c r="J5" s="169"/>
      <c r="K5" s="169"/>
      <c r="L5" s="170"/>
      <c r="M5" s="170"/>
      <c r="N5" s="170"/>
      <c r="O5" s="170"/>
    </row>
    <row r="6" spans="1:15" ht="16.5" thickBot="1">
      <c r="A6" s="170"/>
      <c r="B6" s="179" t="s">
        <v>185</v>
      </c>
      <c r="C6" s="185">
        <v>0.26</v>
      </c>
      <c r="D6" s="181" t="s">
        <v>182</v>
      </c>
      <c r="E6" s="186" t="s">
        <v>186</v>
      </c>
      <c r="F6" s="187">
        <f>C74</f>
        <v>0.17638092514880221</v>
      </c>
      <c r="G6" s="186" t="s">
        <v>186</v>
      </c>
      <c r="H6" s="187">
        <f>C81</f>
        <v>0.21182909144833961</v>
      </c>
      <c r="I6" s="169"/>
      <c r="J6" s="169"/>
      <c r="K6" s="169"/>
      <c r="L6" s="170"/>
      <c r="M6" s="170"/>
      <c r="N6" s="170"/>
      <c r="O6" s="170"/>
    </row>
    <row r="7" spans="1:15" ht="15.75">
      <c r="A7" s="170"/>
      <c r="B7" s="179" t="s">
        <v>187</v>
      </c>
      <c r="C7" s="185">
        <v>0.6</v>
      </c>
      <c r="D7" s="181" t="s">
        <v>182</v>
      </c>
      <c r="E7" s="169"/>
      <c r="F7" s="169"/>
      <c r="G7" s="169"/>
      <c r="H7" s="169"/>
      <c r="I7" s="169"/>
      <c r="J7" s="169"/>
      <c r="K7" s="169"/>
      <c r="L7" s="170"/>
      <c r="M7" s="170"/>
      <c r="N7" s="170"/>
      <c r="O7" s="170"/>
    </row>
    <row r="8" spans="1:15" ht="15.75">
      <c r="A8" s="188"/>
      <c r="B8" s="189" t="s">
        <v>188</v>
      </c>
      <c r="C8" s="185">
        <v>0.04</v>
      </c>
      <c r="D8" s="190" t="s">
        <v>182</v>
      </c>
      <c r="E8" s="169"/>
      <c r="F8" s="169"/>
      <c r="G8" s="169"/>
      <c r="H8" s="169"/>
      <c r="I8" s="169"/>
      <c r="J8" s="169"/>
      <c r="K8" s="169"/>
      <c r="L8" s="170"/>
      <c r="M8" s="170"/>
      <c r="N8" s="170"/>
      <c r="O8" s="170"/>
    </row>
    <row r="9" spans="1:15" ht="16.5" thickBot="1">
      <c r="A9" s="188"/>
      <c r="B9" s="189" t="s">
        <v>189</v>
      </c>
      <c r="C9" s="191">
        <v>7.0000000000000007E-2</v>
      </c>
      <c r="D9" s="192" t="s">
        <v>182</v>
      </c>
      <c r="E9" s="169"/>
      <c r="F9" s="169"/>
      <c r="G9" s="169"/>
      <c r="H9" s="169"/>
      <c r="I9" s="169"/>
      <c r="J9" s="169"/>
      <c r="K9" s="169"/>
      <c r="L9" s="170"/>
      <c r="M9" s="170"/>
      <c r="N9" s="170"/>
      <c r="O9" s="170"/>
    </row>
    <row r="10" spans="1:15" ht="16.5" thickBot="1">
      <c r="A10" s="193"/>
      <c r="B10" s="194" t="s">
        <v>190</v>
      </c>
      <c r="C10" s="195">
        <v>0.1</v>
      </c>
      <c r="D10" s="196"/>
      <c r="E10" s="197"/>
      <c r="F10" s="197"/>
      <c r="G10" s="198"/>
      <c r="H10" s="198"/>
      <c r="I10" s="198"/>
      <c r="J10" s="198"/>
      <c r="K10" s="198"/>
      <c r="L10" s="199"/>
      <c r="M10" s="199"/>
      <c r="N10" s="199"/>
      <c r="O10" s="200"/>
    </row>
    <row r="11" spans="1:15" ht="15.75">
      <c r="A11" s="188"/>
      <c r="B11" s="169"/>
      <c r="C11" s="201"/>
      <c r="D11" s="201"/>
      <c r="E11" s="169"/>
      <c r="F11" s="169"/>
      <c r="G11" s="169"/>
      <c r="H11" s="169"/>
      <c r="I11" s="169"/>
      <c r="J11" s="169"/>
      <c r="K11" s="169"/>
      <c r="L11" s="170"/>
      <c r="M11" s="170"/>
      <c r="N11" s="170"/>
      <c r="O11" s="170"/>
    </row>
    <row r="12" spans="1:15" ht="15.75">
      <c r="A12" s="170"/>
      <c r="B12" s="169"/>
      <c r="C12" s="169"/>
      <c r="D12" s="169"/>
      <c r="E12" s="202" t="s">
        <v>191</v>
      </c>
      <c r="F12" s="203">
        <v>1</v>
      </c>
      <c r="G12" s="203">
        <v>2</v>
      </c>
      <c r="H12" s="203">
        <v>3</v>
      </c>
      <c r="I12" s="203">
        <v>4</v>
      </c>
      <c r="J12" s="203">
        <v>5</v>
      </c>
      <c r="K12" s="203">
        <v>6</v>
      </c>
      <c r="L12" s="204">
        <v>7</v>
      </c>
      <c r="M12" s="204">
        <v>8</v>
      </c>
      <c r="N12" s="204">
        <v>9</v>
      </c>
      <c r="O12" s="204">
        <v>10</v>
      </c>
    </row>
    <row r="13" spans="1:15" ht="15.75">
      <c r="A13" s="205" t="s">
        <v>192</v>
      </c>
      <c r="B13" s="176"/>
      <c r="C13" s="169"/>
      <c r="D13" s="169"/>
      <c r="E13" s="169"/>
      <c r="F13" s="206"/>
      <c r="G13" s="206"/>
      <c r="H13" s="206"/>
      <c r="I13" s="206"/>
      <c r="J13" s="206"/>
      <c r="K13" s="169"/>
      <c r="L13" s="169"/>
      <c r="M13" s="169"/>
      <c r="N13" s="169"/>
      <c r="O13" s="169"/>
    </row>
    <row r="14" spans="1:15" ht="15.75">
      <c r="A14" s="170"/>
      <c r="B14" s="169" t="s">
        <v>193</v>
      </c>
      <c r="C14" s="169"/>
      <c r="D14" s="169"/>
      <c r="E14" s="169"/>
      <c r="F14" s="207">
        <f t="shared" ref="F14:O14" si="0">$C$5*365</f>
        <v>18250</v>
      </c>
      <c r="G14" s="207">
        <f t="shared" si="0"/>
        <v>18250</v>
      </c>
      <c r="H14" s="207">
        <f t="shared" si="0"/>
        <v>18250</v>
      </c>
      <c r="I14" s="207">
        <f t="shared" si="0"/>
        <v>18250</v>
      </c>
      <c r="J14" s="207">
        <f t="shared" si="0"/>
        <v>18250</v>
      </c>
      <c r="K14" s="207">
        <f t="shared" si="0"/>
        <v>18250</v>
      </c>
      <c r="L14" s="207">
        <f t="shared" si="0"/>
        <v>18250</v>
      </c>
      <c r="M14" s="207">
        <f t="shared" si="0"/>
        <v>18250</v>
      </c>
      <c r="N14" s="207">
        <f t="shared" si="0"/>
        <v>18250</v>
      </c>
      <c r="O14" s="207">
        <f t="shared" si="0"/>
        <v>18250</v>
      </c>
    </row>
    <row r="15" spans="1:15" ht="15.75">
      <c r="A15" s="170"/>
      <c r="B15" s="169" t="s">
        <v>194</v>
      </c>
      <c r="C15" s="169"/>
      <c r="D15" s="169"/>
      <c r="E15" s="169"/>
      <c r="F15" s="208">
        <f>C6</f>
        <v>0.26</v>
      </c>
      <c r="G15" s="208">
        <f>C7</f>
        <v>0.6</v>
      </c>
      <c r="H15" s="208">
        <f>G15*(1+$C$8)</f>
        <v>0.624</v>
      </c>
      <c r="I15" s="208">
        <f>H15*(1+$C$8)</f>
        <v>0.64895999999999998</v>
      </c>
      <c r="J15" s="208">
        <f t="shared" ref="J15:O15" si="1">I15*(1+$C$8)</f>
        <v>0.67491840000000003</v>
      </c>
      <c r="K15" s="208">
        <f t="shared" si="1"/>
        <v>0.70191513600000011</v>
      </c>
      <c r="L15" s="208">
        <f t="shared" si="1"/>
        <v>0.72999174144000012</v>
      </c>
      <c r="M15" s="208">
        <f t="shared" si="1"/>
        <v>0.75919141109760013</v>
      </c>
      <c r="N15" s="208">
        <f t="shared" si="1"/>
        <v>0.78955906754150418</v>
      </c>
      <c r="O15" s="208">
        <f t="shared" si="1"/>
        <v>0.82114143024316433</v>
      </c>
    </row>
    <row r="16" spans="1:15" ht="15.75">
      <c r="A16" s="170"/>
      <c r="B16" s="169" t="s">
        <v>195</v>
      </c>
      <c r="C16" s="169"/>
      <c r="D16" s="169"/>
      <c r="E16" s="169"/>
      <c r="F16" s="209">
        <f t="shared" ref="F16:O16" si="2">F14*F15</f>
        <v>4745</v>
      </c>
      <c r="G16" s="209">
        <f t="shared" si="2"/>
        <v>10950</v>
      </c>
      <c r="H16" s="209">
        <f t="shared" si="2"/>
        <v>11388</v>
      </c>
      <c r="I16" s="209">
        <f t="shared" si="2"/>
        <v>11843.52</v>
      </c>
      <c r="J16" s="209">
        <f t="shared" si="2"/>
        <v>12317.2608</v>
      </c>
      <c r="K16" s="209">
        <f t="shared" si="2"/>
        <v>12809.951232000001</v>
      </c>
      <c r="L16" s="209">
        <f t="shared" si="2"/>
        <v>13322.349281280001</v>
      </c>
      <c r="M16" s="209">
        <f t="shared" si="2"/>
        <v>13855.243252531203</v>
      </c>
      <c r="N16" s="209">
        <f t="shared" si="2"/>
        <v>14409.452982632451</v>
      </c>
      <c r="O16" s="209">
        <f t="shared" si="2"/>
        <v>14985.831101937749</v>
      </c>
    </row>
    <row r="17" spans="1:15" ht="15.75">
      <c r="A17" s="170"/>
      <c r="B17" s="169" t="s">
        <v>196</v>
      </c>
      <c r="C17" s="169"/>
      <c r="D17" s="169"/>
      <c r="E17" s="169"/>
      <c r="F17" s="209">
        <f t="shared" ref="F17:O17" si="3">F16/365</f>
        <v>13</v>
      </c>
      <c r="G17" s="209">
        <f t="shared" si="3"/>
        <v>30</v>
      </c>
      <c r="H17" s="209">
        <f t="shared" si="3"/>
        <v>31.2</v>
      </c>
      <c r="I17" s="209">
        <f t="shared" si="3"/>
        <v>32.448</v>
      </c>
      <c r="J17" s="209">
        <f t="shared" si="3"/>
        <v>33.745919999999998</v>
      </c>
      <c r="K17" s="209">
        <f t="shared" si="3"/>
        <v>35.095756800000004</v>
      </c>
      <c r="L17" s="209">
        <f t="shared" si="3"/>
        <v>36.499587072000004</v>
      </c>
      <c r="M17" s="209">
        <f t="shared" si="3"/>
        <v>37.95957055488001</v>
      </c>
      <c r="N17" s="209">
        <f t="shared" si="3"/>
        <v>39.47795337707521</v>
      </c>
      <c r="O17" s="209">
        <f t="shared" si="3"/>
        <v>41.057071512158217</v>
      </c>
    </row>
    <row r="18" spans="1:15" ht="15.75">
      <c r="A18" s="170"/>
      <c r="B18" s="169" t="s">
        <v>197</v>
      </c>
      <c r="C18" s="169"/>
      <c r="D18" s="169"/>
      <c r="E18" s="169"/>
      <c r="F18" s="209">
        <v>30</v>
      </c>
      <c r="G18" s="209">
        <v>27</v>
      </c>
      <c r="H18" s="209">
        <v>27</v>
      </c>
      <c r="I18" s="209">
        <v>27</v>
      </c>
      <c r="J18" s="209">
        <v>27</v>
      </c>
      <c r="K18" s="209">
        <v>27</v>
      </c>
      <c r="L18" s="209">
        <v>27</v>
      </c>
      <c r="M18" s="209">
        <v>27</v>
      </c>
      <c r="N18" s="209">
        <v>27</v>
      </c>
      <c r="O18" s="209">
        <v>27</v>
      </c>
    </row>
    <row r="19" spans="1:15" ht="15.75">
      <c r="A19" s="170"/>
      <c r="B19" s="169" t="s">
        <v>198</v>
      </c>
      <c r="C19" s="169"/>
      <c r="D19" s="169"/>
      <c r="E19" s="169"/>
      <c r="F19" s="209">
        <f>F16/F18</f>
        <v>158.16666666666666</v>
      </c>
      <c r="G19" s="209">
        <f>G16/G18</f>
        <v>405.55555555555554</v>
      </c>
      <c r="H19" s="209">
        <f>H16/H18</f>
        <v>421.77777777777777</v>
      </c>
      <c r="I19" s="209">
        <f t="shared" ref="I19:O19" si="4">I16/I18</f>
        <v>438.64888888888891</v>
      </c>
      <c r="J19" s="209">
        <f t="shared" si="4"/>
        <v>456.19484444444447</v>
      </c>
      <c r="K19" s="209">
        <f t="shared" si="4"/>
        <v>474.44263822222229</v>
      </c>
      <c r="L19" s="209">
        <f t="shared" si="4"/>
        <v>493.42034375111115</v>
      </c>
      <c r="M19" s="209">
        <f t="shared" si="4"/>
        <v>513.15715750115567</v>
      </c>
      <c r="N19" s="209">
        <f t="shared" si="4"/>
        <v>533.68344380120186</v>
      </c>
      <c r="O19" s="209">
        <f t="shared" si="4"/>
        <v>555.03078155324999</v>
      </c>
    </row>
    <row r="20" spans="1:15" ht="15.75">
      <c r="A20" s="170"/>
      <c r="B20" s="169" t="s">
        <v>199</v>
      </c>
      <c r="C20" s="169"/>
      <c r="D20" s="169"/>
      <c r="E20" s="169"/>
      <c r="F20" s="210">
        <v>4.8</v>
      </c>
      <c r="G20" s="210">
        <v>3.5</v>
      </c>
      <c r="H20" s="210">
        <v>3.5</v>
      </c>
      <c r="I20" s="210">
        <v>3.5</v>
      </c>
      <c r="J20" s="210">
        <v>3.5</v>
      </c>
      <c r="K20" s="210">
        <v>3.5</v>
      </c>
      <c r="L20" s="210">
        <v>3.5</v>
      </c>
      <c r="M20" s="210">
        <v>3.5</v>
      </c>
      <c r="N20" s="210">
        <v>3.5</v>
      </c>
      <c r="O20" s="210">
        <v>3.5</v>
      </c>
    </row>
    <row r="21" spans="1:15" ht="15.75">
      <c r="A21" s="170"/>
      <c r="B21" s="169" t="s">
        <v>200</v>
      </c>
      <c r="C21" s="211"/>
      <c r="D21" s="211"/>
      <c r="E21" s="169"/>
      <c r="F21" s="212">
        <f t="shared" ref="F21:O21" si="5">F17*F20</f>
        <v>62.4</v>
      </c>
      <c r="G21" s="212">
        <f t="shared" si="5"/>
        <v>105</v>
      </c>
      <c r="H21" s="212">
        <f t="shared" si="5"/>
        <v>109.2</v>
      </c>
      <c r="I21" s="212">
        <f t="shared" si="5"/>
        <v>113.568</v>
      </c>
      <c r="J21" s="212">
        <f t="shared" si="5"/>
        <v>118.11071999999999</v>
      </c>
      <c r="K21" s="212">
        <f t="shared" si="5"/>
        <v>122.83514880000001</v>
      </c>
      <c r="L21" s="212">
        <f t="shared" si="5"/>
        <v>127.74855475200002</v>
      </c>
      <c r="M21" s="212">
        <f t="shared" si="5"/>
        <v>132.85849694208002</v>
      </c>
      <c r="N21" s="212">
        <f t="shared" si="5"/>
        <v>138.17283681976323</v>
      </c>
      <c r="O21" s="212">
        <f t="shared" si="5"/>
        <v>143.69975029255374</v>
      </c>
    </row>
    <row r="22" spans="1:15" ht="15.75">
      <c r="A22" s="213"/>
      <c r="B22" s="214"/>
      <c r="C22" s="215"/>
      <c r="D22" s="215"/>
      <c r="E22" s="214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 ht="15.75">
      <c r="A23" s="205" t="s">
        <v>201</v>
      </c>
      <c r="B23" s="176"/>
      <c r="C23" s="203" t="s">
        <v>202</v>
      </c>
      <c r="D23" s="203"/>
      <c r="E23" s="169"/>
      <c r="F23" s="212"/>
      <c r="G23" s="212"/>
      <c r="H23" s="212"/>
      <c r="I23" s="212"/>
      <c r="J23" s="212"/>
      <c r="K23" s="169"/>
      <c r="L23" s="169"/>
      <c r="M23" s="169"/>
      <c r="N23" s="169"/>
      <c r="O23" s="169"/>
    </row>
    <row r="24" spans="1:15" ht="15.75">
      <c r="A24" s="217"/>
      <c r="B24" s="218" t="s">
        <v>203</v>
      </c>
      <c r="C24" s="208">
        <v>0.36</v>
      </c>
      <c r="D24" s="219"/>
      <c r="E24" s="218"/>
      <c r="F24" s="220">
        <f t="shared" ref="F24:O28" si="6">F$19*$C24</f>
        <v>56.94</v>
      </c>
      <c r="G24" s="220">
        <f t="shared" si="6"/>
        <v>146</v>
      </c>
      <c r="H24" s="220">
        <f t="shared" si="6"/>
        <v>151.84</v>
      </c>
      <c r="I24" s="220">
        <f t="shared" si="6"/>
        <v>157.9136</v>
      </c>
      <c r="J24" s="220">
        <f t="shared" si="6"/>
        <v>164.230144</v>
      </c>
      <c r="K24" s="220">
        <f t="shared" si="6"/>
        <v>170.79934976000001</v>
      </c>
      <c r="L24" s="220">
        <f t="shared" si="6"/>
        <v>177.63132375040001</v>
      </c>
      <c r="M24" s="220">
        <f t="shared" si="6"/>
        <v>184.73657670041604</v>
      </c>
      <c r="N24" s="220">
        <f t="shared" si="6"/>
        <v>192.12603976843266</v>
      </c>
      <c r="O24" s="220">
        <f t="shared" si="6"/>
        <v>199.81108135917</v>
      </c>
    </row>
    <row r="25" spans="1:15" ht="15.75">
      <c r="A25" s="213"/>
      <c r="B25" s="214" t="s">
        <v>204</v>
      </c>
      <c r="C25" s="208">
        <v>0.28999999999999998</v>
      </c>
      <c r="D25" s="219"/>
      <c r="E25" s="214"/>
      <c r="F25" s="220">
        <f t="shared" si="6"/>
        <v>45.868333333333325</v>
      </c>
      <c r="G25" s="220">
        <f t="shared" si="6"/>
        <v>117.6111111111111</v>
      </c>
      <c r="H25" s="220">
        <f t="shared" si="6"/>
        <v>122.31555555555555</v>
      </c>
      <c r="I25" s="220">
        <f t="shared" si="6"/>
        <v>127.20817777777778</v>
      </c>
      <c r="J25" s="220">
        <f t="shared" si="6"/>
        <v>132.29650488888888</v>
      </c>
      <c r="K25" s="220">
        <f t="shared" si="6"/>
        <v>137.58836508444446</v>
      </c>
      <c r="L25" s="220">
        <f t="shared" si="6"/>
        <v>143.09189968782223</v>
      </c>
      <c r="M25" s="220">
        <f t="shared" si="6"/>
        <v>148.81557567533514</v>
      </c>
      <c r="N25" s="220">
        <f t="shared" si="6"/>
        <v>154.76819870234854</v>
      </c>
      <c r="O25" s="220">
        <f t="shared" si="6"/>
        <v>160.95892665044249</v>
      </c>
    </row>
    <row r="26" spans="1:15" ht="15.75">
      <c r="A26" s="170"/>
      <c r="B26" s="214" t="s">
        <v>205</v>
      </c>
      <c r="C26" s="208">
        <v>0.24</v>
      </c>
      <c r="D26" s="219"/>
      <c r="E26" s="169"/>
      <c r="F26" s="220">
        <f t="shared" si="6"/>
        <v>37.959999999999994</v>
      </c>
      <c r="G26" s="220">
        <f t="shared" si="6"/>
        <v>97.333333333333329</v>
      </c>
      <c r="H26" s="220">
        <f t="shared" si="6"/>
        <v>101.22666666666666</v>
      </c>
      <c r="I26" s="220">
        <f t="shared" si="6"/>
        <v>105.27573333333333</v>
      </c>
      <c r="J26" s="220">
        <f t="shared" si="6"/>
        <v>109.48676266666666</v>
      </c>
      <c r="K26" s="220">
        <f t="shared" si="6"/>
        <v>113.86623317333334</v>
      </c>
      <c r="L26" s="220">
        <f t="shared" si="6"/>
        <v>118.42088250026667</v>
      </c>
      <c r="M26" s="220">
        <f t="shared" si="6"/>
        <v>123.15771780027735</v>
      </c>
      <c r="N26" s="220">
        <f t="shared" si="6"/>
        <v>128.08402651228843</v>
      </c>
      <c r="O26" s="220">
        <f t="shared" si="6"/>
        <v>133.20738757277999</v>
      </c>
    </row>
    <row r="27" spans="1:15" ht="15.75">
      <c r="A27" s="213"/>
      <c r="B27" s="214" t="s">
        <v>206</v>
      </c>
      <c r="C27" s="208">
        <f>1-C24-C25-C26-C28</f>
        <v>9.0000000000000038E-2</v>
      </c>
      <c r="D27" s="219"/>
      <c r="E27" s="214"/>
      <c r="F27" s="220">
        <f t="shared" si="6"/>
        <v>14.235000000000005</v>
      </c>
      <c r="G27" s="220">
        <f t="shared" si="6"/>
        <v>36.500000000000014</v>
      </c>
      <c r="H27" s="220">
        <f t="shared" si="6"/>
        <v>37.960000000000015</v>
      </c>
      <c r="I27" s="220">
        <f t="shared" si="6"/>
        <v>39.478400000000015</v>
      </c>
      <c r="J27" s="220">
        <f t="shared" si="6"/>
        <v>41.05753600000002</v>
      </c>
      <c r="K27" s="220">
        <f t="shared" si="6"/>
        <v>42.699837440000024</v>
      </c>
      <c r="L27" s="220">
        <f t="shared" si="6"/>
        <v>44.407830937600025</v>
      </c>
      <c r="M27" s="220">
        <f t="shared" si="6"/>
        <v>46.184144175104031</v>
      </c>
      <c r="N27" s="220">
        <f t="shared" si="6"/>
        <v>48.031509942108187</v>
      </c>
      <c r="O27" s="220">
        <f t="shared" si="6"/>
        <v>49.952770339792522</v>
      </c>
    </row>
    <row r="28" spans="1:15" ht="15.75">
      <c r="A28" s="213"/>
      <c r="B28" s="214" t="s">
        <v>207</v>
      </c>
      <c r="C28" s="208">
        <v>0.02</v>
      </c>
      <c r="D28" s="219"/>
      <c r="E28" s="214"/>
      <c r="F28" s="221">
        <f t="shared" si="6"/>
        <v>3.1633333333333331</v>
      </c>
      <c r="G28" s="221">
        <f t="shared" si="6"/>
        <v>8.1111111111111107</v>
      </c>
      <c r="H28" s="221">
        <f t="shared" si="6"/>
        <v>8.4355555555555561</v>
      </c>
      <c r="I28" s="221">
        <f t="shared" si="6"/>
        <v>8.7729777777777791</v>
      </c>
      <c r="J28" s="221">
        <f t="shared" si="6"/>
        <v>9.1238968888888898</v>
      </c>
      <c r="K28" s="221">
        <f t="shared" si="6"/>
        <v>9.4888527644444451</v>
      </c>
      <c r="L28" s="221">
        <f t="shared" si="6"/>
        <v>9.8684068750222238</v>
      </c>
      <c r="M28" s="221">
        <f t="shared" si="6"/>
        <v>10.263143150023113</v>
      </c>
      <c r="N28" s="221">
        <f t="shared" si="6"/>
        <v>10.673668876024037</v>
      </c>
      <c r="O28" s="221">
        <f t="shared" si="6"/>
        <v>11.100615631065001</v>
      </c>
    </row>
    <row r="29" spans="1:15" ht="15.75">
      <c r="A29" s="213"/>
      <c r="B29" s="214"/>
      <c r="C29" s="219"/>
      <c r="D29" s="219"/>
      <c r="E29" s="219"/>
      <c r="F29" s="220">
        <f t="shared" ref="F29:O29" si="7">SUM(F24:F28)</f>
        <v>158.16666666666666</v>
      </c>
      <c r="G29" s="220">
        <f t="shared" si="7"/>
        <v>405.55555555555549</v>
      </c>
      <c r="H29" s="220">
        <f t="shared" si="7"/>
        <v>421.77777777777783</v>
      </c>
      <c r="I29" s="220">
        <f t="shared" si="7"/>
        <v>438.64888888888891</v>
      </c>
      <c r="J29" s="220">
        <f t="shared" si="7"/>
        <v>456.19484444444447</v>
      </c>
      <c r="K29" s="220">
        <f t="shared" si="7"/>
        <v>474.44263822222229</v>
      </c>
      <c r="L29" s="220">
        <f t="shared" si="7"/>
        <v>493.42034375111115</v>
      </c>
      <c r="M29" s="220">
        <f t="shared" si="7"/>
        <v>513.15715750115567</v>
      </c>
      <c r="N29" s="220">
        <f t="shared" si="7"/>
        <v>533.68344380120186</v>
      </c>
      <c r="O29" s="220">
        <f t="shared" si="7"/>
        <v>555.03078155325011</v>
      </c>
    </row>
    <row r="30" spans="1:15" ht="15.75">
      <c r="A30" s="213"/>
      <c r="B30" s="214"/>
      <c r="C30" s="211"/>
      <c r="D30" s="211"/>
      <c r="E30" s="222"/>
      <c r="F30" s="216"/>
      <c r="G30" s="216"/>
      <c r="H30" s="216"/>
      <c r="I30" s="216"/>
      <c r="J30" s="216"/>
      <c r="K30" s="214"/>
      <c r="L30" s="214"/>
      <c r="M30" s="214"/>
      <c r="N30" s="214"/>
      <c r="O30" s="214"/>
    </row>
    <row r="31" spans="1:15" ht="15.75">
      <c r="A31" s="205"/>
      <c r="B31" s="176"/>
      <c r="C31" s="203" t="s">
        <v>208</v>
      </c>
      <c r="D31" s="203"/>
      <c r="E31" s="223" t="s">
        <v>209</v>
      </c>
      <c r="F31" s="212"/>
      <c r="G31" s="212"/>
      <c r="H31" s="212"/>
      <c r="I31" s="212"/>
      <c r="J31" s="212"/>
      <c r="K31" s="169"/>
      <c r="L31" s="169"/>
      <c r="M31" s="169"/>
      <c r="N31" s="169"/>
      <c r="O31" s="169"/>
    </row>
    <row r="32" spans="1:15" ht="15.75">
      <c r="A32" s="217"/>
      <c r="B32" s="218" t="s">
        <v>210</v>
      </c>
      <c r="C32" s="224">
        <v>27795</v>
      </c>
      <c r="D32" s="225"/>
      <c r="E32" s="201">
        <v>0</v>
      </c>
      <c r="F32" s="220">
        <f>F24*$C32/1000</f>
        <v>1582.6473000000001</v>
      </c>
      <c r="G32" s="220">
        <f t="shared" ref="G32:O32" si="8">(G24*$C32*(1+$E$32))/1000</f>
        <v>4058.07</v>
      </c>
      <c r="H32" s="220">
        <f t="shared" si="8"/>
        <v>4220.3927999999996</v>
      </c>
      <c r="I32" s="220">
        <f t="shared" si="8"/>
        <v>4389.2085120000002</v>
      </c>
      <c r="J32" s="220">
        <f t="shared" si="8"/>
        <v>4564.7768524799994</v>
      </c>
      <c r="K32" s="220">
        <f t="shared" si="8"/>
        <v>4747.3679265792007</v>
      </c>
      <c r="L32" s="220">
        <f t="shared" si="8"/>
        <v>4937.2626436423689</v>
      </c>
      <c r="M32" s="220">
        <f t="shared" si="8"/>
        <v>5134.7531493880633</v>
      </c>
      <c r="N32" s="220">
        <f t="shared" si="8"/>
        <v>5340.1432753635863</v>
      </c>
      <c r="O32" s="220">
        <f t="shared" si="8"/>
        <v>5553.7490063781297</v>
      </c>
    </row>
    <row r="33" spans="1:15" ht="15.75">
      <c r="A33" s="213"/>
      <c r="B33" s="214" t="s">
        <v>211</v>
      </c>
      <c r="C33" s="224">
        <v>35000</v>
      </c>
      <c r="D33" s="225"/>
      <c r="E33" s="201">
        <v>1.2999999999999999E-2</v>
      </c>
      <c r="F33" s="220">
        <f>F25*$C33/1000</f>
        <v>1605.3916666666662</v>
      </c>
      <c r="G33" s="220">
        <f t="shared" ref="G33:O33" si="9">G25*$C33*(1+$E$33)/1000</f>
        <v>4169.9019444444439</v>
      </c>
      <c r="H33" s="220">
        <f t="shared" si="9"/>
        <v>4336.6980222222219</v>
      </c>
      <c r="I33" s="220">
        <f t="shared" si="9"/>
        <v>4510.1659431111102</v>
      </c>
      <c r="J33" s="220">
        <f t="shared" si="9"/>
        <v>4690.5725808355546</v>
      </c>
      <c r="K33" s="220">
        <f t="shared" si="9"/>
        <v>4878.1954840689777</v>
      </c>
      <c r="L33" s="220">
        <f t="shared" si="9"/>
        <v>5073.3233034317373</v>
      </c>
      <c r="M33" s="220">
        <f t="shared" si="9"/>
        <v>5276.256235569007</v>
      </c>
      <c r="N33" s="220">
        <f t="shared" si="9"/>
        <v>5487.3064849917664</v>
      </c>
      <c r="O33" s="220">
        <f t="shared" si="9"/>
        <v>5706.798744391439</v>
      </c>
    </row>
    <row r="34" spans="1:15" ht="15.75">
      <c r="A34" s="213"/>
      <c r="B34" s="169" t="s">
        <v>212</v>
      </c>
      <c r="C34" s="224">
        <v>2800</v>
      </c>
      <c r="D34" s="225"/>
      <c r="E34" s="201">
        <v>0.05</v>
      </c>
      <c r="F34" s="220">
        <f>$C$34*F$16*$C$26/1000</f>
        <v>3188.64</v>
      </c>
      <c r="G34" s="220">
        <f t="shared" ref="G34:O34" si="10">$C$34*G$16*$C$26*(1+$E$34)/1000</f>
        <v>7726.32</v>
      </c>
      <c r="H34" s="220">
        <f t="shared" si="10"/>
        <v>8035.372800000001</v>
      </c>
      <c r="I34" s="220">
        <f t="shared" si="10"/>
        <v>8356.7877119999994</v>
      </c>
      <c r="J34" s="220">
        <f t="shared" si="10"/>
        <v>8691.0592204800014</v>
      </c>
      <c r="K34" s="220">
        <f t="shared" si="10"/>
        <v>9038.7015892992022</v>
      </c>
      <c r="L34" s="220">
        <f t="shared" si="10"/>
        <v>9400.2496528711672</v>
      </c>
      <c r="M34" s="220">
        <f t="shared" si="10"/>
        <v>9776.2596389860155</v>
      </c>
      <c r="N34" s="220">
        <f t="shared" si="10"/>
        <v>10167.310024545459</v>
      </c>
      <c r="O34" s="220">
        <f t="shared" si="10"/>
        <v>10574.002425527277</v>
      </c>
    </row>
    <row r="35" spans="1:15" ht="15.75">
      <c r="A35" s="213"/>
      <c r="B35" s="214" t="s">
        <v>213</v>
      </c>
      <c r="C35" s="224">
        <v>38500</v>
      </c>
      <c r="D35" s="225"/>
      <c r="E35" s="226">
        <v>1.2999999999999999E-2</v>
      </c>
      <c r="F35" s="220">
        <f>F27*$C$35/1000</f>
        <v>548.04750000000024</v>
      </c>
      <c r="G35" s="220">
        <f t="shared" ref="G35:O35" si="11">G27*$C$35*(1+$E$35)/1000</f>
        <v>1423.5182500000003</v>
      </c>
      <c r="H35" s="220">
        <f t="shared" si="11"/>
        <v>1480.4589800000001</v>
      </c>
      <c r="I35" s="220">
        <f t="shared" si="11"/>
        <v>1539.6773392000005</v>
      </c>
      <c r="J35" s="220">
        <f t="shared" si="11"/>
        <v>1601.2644327680007</v>
      </c>
      <c r="K35" s="220">
        <f t="shared" si="11"/>
        <v>1665.3150100787207</v>
      </c>
      <c r="L35" s="220">
        <f t="shared" si="11"/>
        <v>1731.9276104818694</v>
      </c>
      <c r="M35" s="220">
        <f t="shared" si="11"/>
        <v>1801.2047149011446</v>
      </c>
      <c r="N35" s="220">
        <f t="shared" si="11"/>
        <v>1873.2529034971899</v>
      </c>
      <c r="O35" s="220">
        <f t="shared" si="11"/>
        <v>1948.1830196370781</v>
      </c>
    </row>
    <row r="36" spans="1:15" ht="15.75">
      <c r="A36" s="213"/>
      <c r="B36" s="227" t="s">
        <v>214</v>
      </c>
      <c r="C36" s="228">
        <v>35000</v>
      </c>
      <c r="D36" s="229"/>
      <c r="E36" s="230">
        <v>1.2999999999999999E-2</v>
      </c>
      <c r="F36" s="221">
        <f>F28*$C$36/1000</f>
        <v>110.71666666666665</v>
      </c>
      <c r="G36" s="221">
        <f t="shared" ref="G36:O36" si="12">G28*$C$36*(1+$E$36)/1000</f>
        <v>287.57944444444439</v>
      </c>
      <c r="H36" s="221">
        <f t="shared" si="12"/>
        <v>299.0826222222222</v>
      </c>
      <c r="I36" s="221">
        <f t="shared" si="12"/>
        <v>311.0459271111111</v>
      </c>
      <c r="J36" s="221">
        <f t="shared" si="12"/>
        <v>323.4877641955556</v>
      </c>
      <c r="K36" s="221">
        <f t="shared" si="12"/>
        <v>336.4272747633778</v>
      </c>
      <c r="L36" s="221">
        <f t="shared" si="12"/>
        <v>349.8843657539129</v>
      </c>
      <c r="M36" s="221">
        <f t="shared" si="12"/>
        <v>363.87974038406946</v>
      </c>
      <c r="N36" s="221">
        <f t="shared" si="12"/>
        <v>378.4349299994322</v>
      </c>
      <c r="O36" s="221">
        <f t="shared" si="12"/>
        <v>393.57232719940953</v>
      </c>
    </row>
    <row r="37" spans="1:15">
      <c r="A37" s="231"/>
      <c r="B37" s="232" t="s">
        <v>215</v>
      </c>
      <c r="C37" s="233" t="s">
        <v>216</v>
      </c>
      <c r="D37" s="233"/>
      <c r="E37" s="231"/>
      <c r="F37" s="234">
        <f t="shared" ref="F37:O37" si="13">SUM(F32:F36)</f>
        <v>7035.4431333333332</v>
      </c>
      <c r="G37" s="234">
        <f t="shared" si="13"/>
        <v>17665.389638888886</v>
      </c>
      <c r="H37" s="234">
        <f t="shared" si="13"/>
        <v>18372.005224444445</v>
      </c>
      <c r="I37" s="234">
        <f t="shared" si="13"/>
        <v>19106.88543342222</v>
      </c>
      <c r="J37" s="234">
        <f t="shared" si="13"/>
        <v>19871.160850759112</v>
      </c>
      <c r="K37" s="234">
        <f t="shared" si="13"/>
        <v>20666.007284789477</v>
      </c>
      <c r="L37" s="234">
        <f t="shared" si="13"/>
        <v>21492.647576181058</v>
      </c>
      <c r="M37" s="234">
        <f t="shared" si="13"/>
        <v>22352.353479228299</v>
      </c>
      <c r="N37" s="234">
        <f t="shared" si="13"/>
        <v>23246.447618397433</v>
      </c>
      <c r="O37" s="234">
        <f t="shared" si="13"/>
        <v>24176.305523133335</v>
      </c>
    </row>
    <row r="38" spans="1:15" ht="15.75">
      <c r="A38" s="170"/>
      <c r="B38" s="235" t="s">
        <v>217</v>
      </c>
      <c r="C38" s="236">
        <v>0.01</v>
      </c>
      <c r="D38" s="236"/>
      <c r="E38" s="237"/>
      <c r="F38" s="238">
        <f t="shared" ref="F38:O38" si="14">F$37*$C38</f>
        <v>70.354431333333338</v>
      </c>
      <c r="G38" s="238">
        <f t="shared" si="14"/>
        <v>176.65389638888885</v>
      </c>
      <c r="H38" s="238">
        <f t="shared" si="14"/>
        <v>183.72005224444445</v>
      </c>
      <c r="I38" s="238">
        <f t="shared" si="14"/>
        <v>191.06885433422221</v>
      </c>
      <c r="J38" s="238">
        <f t="shared" si="14"/>
        <v>198.71160850759111</v>
      </c>
      <c r="K38" s="238">
        <f t="shared" si="14"/>
        <v>206.66007284789478</v>
      </c>
      <c r="L38" s="238">
        <f t="shared" si="14"/>
        <v>214.92647576181059</v>
      </c>
      <c r="M38" s="238">
        <f t="shared" si="14"/>
        <v>223.52353479228299</v>
      </c>
      <c r="N38" s="238">
        <f t="shared" si="14"/>
        <v>232.46447618397434</v>
      </c>
      <c r="O38" s="238">
        <f t="shared" si="14"/>
        <v>241.76305523133334</v>
      </c>
    </row>
    <row r="39" spans="1:15" ht="15.75">
      <c r="A39" s="170"/>
      <c r="B39" s="232" t="s">
        <v>218</v>
      </c>
      <c r="C39" s="239" t="str">
        <f>C37</f>
        <v>(000 omitted)</v>
      </c>
      <c r="D39" s="239"/>
      <c r="E39" s="240"/>
      <c r="F39" s="241">
        <f t="shared" ref="F39:O39" si="15">F37-F38</f>
        <v>6965.088702</v>
      </c>
      <c r="G39" s="241">
        <f t="shared" si="15"/>
        <v>17488.735742499997</v>
      </c>
      <c r="H39" s="241">
        <f t="shared" si="15"/>
        <v>18188.285172200001</v>
      </c>
      <c r="I39" s="241">
        <f t="shared" si="15"/>
        <v>18915.816579087998</v>
      </c>
      <c r="J39" s="241">
        <f t="shared" si="15"/>
        <v>19672.449242251521</v>
      </c>
      <c r="K39" s="241">
        <f t="shared" si="15"/>
        <v>20459.347211941582</v>
      </c>
      <c r="L39" s="241">
        <f t="shared" si="15"/>
        <v>21277.721100419247</v>
      </c>
      <c r="M39" s="241">
        <f t="shared" si="15"/>
        <v>22128.829944436016</v>
      </c>
      <c r="N39" s="241">
        <f t="shared" si="15"/>
        <v>23013.983142213459</v>
      </c>
      <c r="O39" s="241">
        <f t="shared" si="15"/>
        <v>23934.542467902</v>
      </c>
    </row>
    <row r="40" spans="1:15" ht="15.75">
      <c r="A40" s="242"/>
      <c r="B40" s="242"/>
      <c r="C40" s="242"/>
      <c r="D40" s="242"/>
      <c r="E40" s="243"/>
      <c r="F40" s="216"/>
      <c r="G40" s="216"/>
      <c r="H40" s="216"/>
      <c r="I40" s="216"/>
      <c r="J40" s="216"/>
      <c r="K40" s="214"/>
      <c r="L40" s="214"/>
      <c r="M40" s="214"/>
      <c r="N40" s="214"/>
      <c r="O40" s="214"/>
    </row>
    <row r="41" spans="1:15" ht="15.75">
      <c r="A41" s="205" t="s">
        <v>219</v>
      </c>
      <c r="B41" s="169"/>
      <c r="C41" s="169"/>
      <c r="D41" s="169"/>
      <c r="E41" s="244" t="s">
        <v>209</v>
      </c>
      <c r="F41" s="245"/>
      <c r="G41" s="245"/>
      <c r="H41" s="245"/>
      <c r="I41" s="245"/>
      <c r="J41" s="245"/>
      <c r="K41" s="169"/>
      <c r="L41" s="169"/>
      <c r="M41" s="169"/>
      <c r="N41" s="169"/>
      <c r="O41" s="169"/>
    </row>
    <row r="42" spans="1:15" ht="15.75">
      <c r="A42" s="170"/>
      <c r="B42" s="246" t="s">
        <v>220</v>
      </c>
      <c r="C42" s="247">
        <v>60250</v>
      </c>
      <c r="D42" s="247"/>
      <c r="E42" s="248">
        <v>0.03</v>
      </c>
      <c r="F42" s="245">
        <f t="shared" ref="F42:O42" si="16">F21*$C42*(1+$E$42)^(F12-1)/1000</f>
        <v>3759.6</v>
      </c>
      <c r="G42" s="245">
        <f t="shared" si="16"/>
        <v>6516.0375000000004</v>
      </c>
      <c r="H42" s="245">
        <f t="shared" si="16"/>
        <v>6979.97937</v>
      </c>
      <c r="I42" s="245">
        <f t="shared" si="16"/>
        <v>7476.9539011440002</v>
      </c>
      <c r="J42" s="245">
        <f t="shared" si="16"/>
        <v>8009.3130189054509</v>
      </c>
      <c r="K42" s="245">
        <f t="shared" si="16"/>
        <v>8579.57610585152</v>
      </c>
      <c r="L42" s="245">
        <f t="shared" si="16"/>
        <v>9190.441924588149</v>
      </c>
      <c r="M42" s="245">
        <f t="shared" si="16"/>
        <v>9844.8013896188277</v>
      </c>
      <c r="N42" s="245">
        <f t="shared" si="16"/>
        <v>10545.751248559687</v>
      </c>
      <c r="O42" s="245">
        <f t="shared" si="16"/>
        <v>11296.608737457138</v>
      </c>
    </row>
    <row r="43" spans="1:15" ht="15.75">
      <c r="A43" s="170"/>
      <c r="B43" s="246" t="s">
        <v>221</v>
      </c>
      <c r="C43" s="249">
        <v>0.16300000000000001</v>
      </c>
      <c r="D43" s="249"/>
      <c r="E43" s="170"/>
      <c r="F43" s="245">
        <f t="shared" ref="F43:O44" si="17">F$39*$C43</f>
        <v>1135.309458426</v>
      </c>
      <c r="G43" s="245">
        <f t="shared" si="17"/>
        <v>2850.6639260274997</v>
      </c>
      <c r="H43" s="245">
        <f t="shared" si="17"/>
        <v>2964.6904830686003</v>
      </c>
      <c r="I43" s="245">
        <f t="shared" si="17"/>
        <v>3083.2781023913435</v>
      </c>
      <c r="J43" s="245">
        <f t="shared" si="17"/>
        <v>3206.6092264869981</v>
      </c>
      <c r="K43" s="245">
        <f t="shared" si="17"/>
        <v>3334.8735955464781</v>
      </c>
      <c r="L43" s="245">
        <f t="shared" si="17"/>
        <v>3468.2685393683373</v>
      </c>
      <c r="M43" s="245">
        <f t="shared" si="17"/>
        <v>3606.999280943071</v>
      </c>
      <c r="N43" s="245">
        <f t="shared" si="17"/>
        <v>3751.2792521807942</v>
      </c>
      <c r="O43" s="245">
        <f t="shared" si="17"/>
        <v>3901.3304222680263</v>
      </c>
    </row>
    <row r="44" spans="1:15" ht="15.75">
      <c r="A44" s="170"/>
      <c r="B44" s="246" t="s">
        <v>222</v>
      </c>
      <c r="C44" s="250">
        <v>0.08</v>
      </c>
      <c r="D44" s="250"/>
      <c r="E44" s="251"/>
      <c r="F44" s="245">
        <f t="shared" si="17"/>
        <v>557.20709615999999</v>
      </c>
      <c r="G44" s="245">
        <f t="shared" si="17"/>
        <v>1399.0988593999998</v>
      </c>
      <c r="H44" s="245">
        <f t="shared" si="17"/>
        <v>1455.0628137760002</v>
      </c>
      <c r="I44" s="245">
        <f t="shared" si="17"/>
        <v>1513.2653263270399</v>
      </c>
      <c r="J44" s="245">
        <f t="shared" si="17"/>
        <v>1573.7959393801218</v>
      </c>
      <c r="K44" s="245">
        <f t="shared" si="17"/>
        <v>1636.7477769553266</v>
      </c>
      <c r="L44" s="245">
        <f t="shared" si="17"/>
        <v>1702.2176880335398</v>
      </c>
      <c r="M44" s="245">
        <f t="shared" si="17"/>
        <v>1770.3063955548814</v>
      </c>
      <c r="N44" s="245">
        <f t="shared" si="17"/>
        <v>1841.1186513770767</v>
      </c>
      <c r="O44" s="245">
        <f t="shared" si="17"/>
        <v>1914.76339743216</v>
      </c>
    </row>
    <row r="45" spans="1:15" ht="15.75">
      <c r="A45" s="170"/>
      <c r="B45" s="246"/>
      <c r="C45" s="252"/>
      <c r="D45" s="252"/>
      <c r="E45" s="170"/>
      <c r="F45" s="245"/>
      <c r="G45" s="245"/>
      <c r="H45" s="245"/>
      <c r="I45" s="245"/>
      <c r="J45" s="245"/>
      <c r="K45" s="169"/>
      <c r="L45" s="169"/>
      <c r="M45" s="169"/>
      <c r="N45" s="169"/>
      <c r="O45" s="169"/>
    </row>
    <row r="46" spans="1:15" ht="15.75">
      <c r="A46" s="170"/>
      <c r="B46" s="246" t="s">
        <v>223</v>
      </c>
      <c r="C46" s="247">
        <v>1200000</v>
      </c>
      <c r="D46" s="247"/>
      <c r="E46" s="253" t="s">
        <v>224</v>
      </c>
      <c r="F46" s="245">
        <f t="shared" ref="F46:O46" si="18">$C$46/1000+$C$9*F39</f>
        <v>1687.55620914</v>
      </c>
      <c r="G46" s="245">
        <f t="shared" si="18"/>
        <v>2424.2115019749999</v>
      </c>
      <c r="H46" s="245">
        <f t="shared" si="18"/>
        <v>2473.1799620540005</v>
      </c>
      <c r="I46" s="245">
        <f t="shared" si="18"/>
        <v>2524.1071605361599</v>
      </c>
      <c r="J46" s="245">
        <f t="shared" si="18"/>
        <v>2577.0714469576069</v>
      </c>
      <c r="K46" s="245">
        <f t="shared" si="18"/>
        <v>2632.1543048359108</v>
      </c>
      <c r="L46" s="245">
        <f t="shared" si="18"/>
        <v>2689.4404770293477</v>
      </c>
      <c r="M46" s="245">
        <f t="shared" si="18"/>
        <v>2749.0180961105216</v>
      </c>
      <c r="N46" s="245">
        <f t="shared" si="18"/>
        <v>2810.9788199549421</v>
      </c>
      <c r="O46" s="245">
        <f t="shared" si="18"/>
        <v>2875.41797275314</v>
      </c>
    </row>
    <row r="47" spans="1:15" ht="15.75">
      <c r="A47" s="170"/>
      <c r="B47" s="246" t="s">
        <v>225</v>
      </c>
      <c r="C47" s="247">
        <v>200000</v>
      </c>
      <c r="D47" s="247"/>
      <c r="E47" s="248">
        <v>0.03</v>
      </c>
      <c r="F47" s="245">
        <f>C47/1000</f>
        <v>200</v>
      </c>
      <c r="G47" s="245">
        <f t="shared" ref="G47:O47" si="19">F47*(1+$E47)</f>
        <v>206</v>
      </c>
      <c r="H47" s="245">
        <f t="shared" si="19"/>
        <v>212.18</v>
      </c>
      <c r="I47" s="245">
        <f t="shared" si="19"/>
        <v>218.5454</v>
      </c>
      <c r="J47" s="245">
        <f t="shared" si="19"/>
        <v>225.10176200000001</v>
      </c>
      <c r="K47" s="245">
        <f t="shared" si="19"/>
        <v>231.85481486</v>
      </c>
      <c r="L47" s="245">
        <f t="shared" si="19"/>
        <v>238.81045930580001</v>
      </c>
      <c r="M47" s="245">
        <f t="shared" si="19"/>
        <v>245.974773084974</v>
      </c>
      <c r="N47" s="245">
        <f t="shared" si="19"/>
        <v>253.35401627752324</v>
      </c>
      <c r="O47" s="245">
        <f t="shared" si="19"/>
        <v>260.95463676584893</v>
      </c>
    </row>
    <row r="48" spans="1:15" ht="18">
      <c r="A48" s="170"/>
      <c r="B48" s="246" t="s">
        <v>226</v>
      </c>
      <c r="C48" s="247">
        <f>500000*30</f>
        <v>15000000</v>
      </c>
      <c r="D48" s="247"/>
      <c r="E48" s="251"/>
      <c r="F48" s="254">
        <f>15000000/30/1000</f>
        <v>500</v>
      </c>
      <c r="G48" s="254">
        <f t="shared" ref="G48:O48" si="20">F48</f>
        <v>500</v>
      </c>
      <c r="H48" s="254">
        <f t="shared" si="20"/>
        <v>500</v>
      </c>
      <c r="I48" s="254">
        <f t="shared" si="20"/>
        <v>500</v>
      </c>
      <c r="J48" s="254">
        <f t="shared" si="20"/>
        <v>500</v>
      </c>
      <c r="K48" s="254">
        <f t="shared" si="20"/>
        <v>500</v>
      </c>
      <c r="L48" s="254">
        <f t="shared" si="20"/>
        <v>500</v>
      </c>
      <c r="M48" s="254">
        <f t="shared" si="20"/>
        <v>500</v>
      </c>
      <c r="N48" s="254">
        <f t="shared" si="20"/>
        <v>500</v>
      </c>
      <c r="O48" s="254">
        <f t="shared" si="20"/>
        <v>500</v>
      </c>
    </row>
    <row r="49" spans="1:15" ht="15.75">
      <c r="A49" s="170"/>
      <c r="B49" s="255" t="s">
        <v>227</v>
      </c>
      <c r="C49" s="239" t="str">
        <f>C37</f>
        <v>(000 omitted)</v>
      </c>
      <c r="D49" s="247"/>
      <c r="E49" s="170"/>
      <c r="F49" s="256">
        <f t="shared" ref="F49:O49" si="21">SUM(F42:F48)</f>
        <v>7839.6727637260001</v>
      </c>
      <c r="G49" s="256">
        <f t="shared" si="21"/>
        <v>13896.011787402498</v>
      </c>
      <c r="H49" s="256">
        <f t="shared" si="21"/>
        <v>14585.092628898601</v>
      </c>
      <c r="I49" s="256">
        <f t="shared" si="21"/>
        <v>15316.149890398545</v>
      </c>
      <c r="J49" s="256">
        <f t="shared" si="21"/>
        <v>16091.891393730177</v>
      </c>
      <c r="K49" s="256">
        <f t="shared" si="21"/>
        <v>16915.206598049233</v>
      </c>
      <c r="L49" s="256">
        <f t="shared" si="21"/>
        <v>17789.179088325174</v>
      </c>
      <c r="M49" s="256">
        <f t="shared" si="21"/>
        <v>18717.099935312275</v>
      </c>
      <c r="N49" s="256">
        <f t="shared" si="21"/>
        <v>19702.481988350024</v>
      </c>
      <c r="O49" s="256">
        <f t="shared" si="21"/>
        <v>20749.075166676314</v>
      </c>
    </row>
    <row r="50" spans="1:15" ht="15.75">
      <c r="A50" s="170"/>
      <c r="B50" s="181"/>
      <c r="C50" s="250"/>
      <c r="D50" s="250"/>
      <c r="E50" s="251"/>
      <c r="F50" s="245"/>
      <c r="G50" s="245"/>
      <c r="H50" s="245"/>
      <c r="I50" s="245"/>
      <c r="J50" s="245"/>
      <c r="K50" s="245"/>
      <c r="L50" s="245"/>
      <c r="M50" s="245"/>
      <c r="N50" s="245"/>
      <c r="O50" s="245"/>
    </row>
    <row r="51" spans="1:15" ht="15.75">
      <c r="A51" s="170"/>
      <c r="B51" s="181"/>
      <c r="C51" s="257" t="s">
        <v>228</v>
      </c>
      <c r="D51" s="225" t="s">
        <v>229</v>
      </c>
      <c r="E51" s="248" t="s">
        <v>229</v>
      </c>
      <c r="F51" s="258"/>
      <c r="G51" s="258"/>
      <c r="H51" s="258"/>
      <c r="I51" s="258"/>
      <c r="J51" s="258"/>
      <c r="K51" s="258"/>
      <c r="L51" s="258"/>
      <c r="M51" s="258"/>
      <c r="N51" s="258"/>
      <c r="O51" s="258"/>
    </row>
    <row r="52" spans="1:15" ht="15.75">
      <c r="A52" s="170"/>
      <c r="B52" s="259" t="s">
        <v>230</v>
      </c>
      <c r="C52" s="225" t="s">
        <v>229</v>
      </c>
      <c r="D52" s="260" t="s">
        <v>228</v>
      </c>
      <c r="E52" s="261" t="s">
        <v>230</v>
      </c>
      <c r="F52" s="245" t="s">
        <v>229</v>
      </c>
      <c r="G52" s="245" t="s">
        <v>229</v>
      </c>
      <c r="H52" s="245" t="s">
        <v>229</v>
      </c>
      <c r="I52" s="245" t="s">
        <v>229</v>
      </c>
      <c r="J52" s="245" t="s">
        <v>229</v>
      </c>
      <c r="K52" s="245" t="s">
        <v>229</v>
      </c>
      <c r="L52" s="245" t="s">
        <v>229</v>
      </c>
      <c r="M52" s="245" t="s">
        <v>229</v>
      </c>
      <c r="N52" s="245" t="s">
        <v>231</v>
      </c>
      <c r="O52" s="245" t="s">
        <v>229</v>
      </c>
    </row>
    <row r="53" spans="1:15" ht="15.75">
      <c r="A53" s="170"/>
      <c r="B53" s="181"/>
      <c r="C53" s="247"/>
      <c r="D53" s="247"/>
      <c r="E53" s="251"/>
      <c r="F53" s="258"/>
      <c r="G53" s="258"/>
      <c r="H53" s="258"/>
      <c r="I53" s="258"/>
      <c r="J53" s="258"/>
      <c r="K53" s="258"/>
      <c r="L53" s="258"/>
      <c r="M53" s="258"/>
      <c r="N53" s="258"/>
      <c r="O53" s="258"/>
    </row>
    <row r="54" spans="1:15" ht="15.75">
      <c r="A54" s="170"/>
      <c r="B54" s="255" t="s">
        <v>227</v>
      </c>
      <c r="C54" s="262"/>
      <c r="D54" s="262"/>
      <c r="E54" s="263"/>
      <c r="F54" s="241">
        <f t="shared" ref="F54:O54" si="22">SUM(F49:F52)</f>
        <v>7839.6727637260001</v>
      </c>
      <c r="G54" s="241">
        <f t="shared" si="22"/>
        <v>13896.011787402498</v>
      </c>
      <c r="H54" s="241">
        <f t="shared" si="22"/>
        <v>14585.092628898601</v>
      </c>
      <c r="I54" s="241">
        <f t="shared" si="22"/>
        <v>15316.149890398545</v>
      </c>
      <c r="J54" s="241">
        <f t="shared" si="22"/>
        <v>16091.891393730177</v>
      </c>
      <c r="K54" s="241">
        <f t="shared" si="22"/>
        <v>16915.206598049233</v>
      </c>
      <c r="L54" s="241">
        <f t="shared" si="22"/>
        <v>17789.179088325174</v>
      </c>
      <c r="M54" s="241">
        <f t="shared" si="22"/>
        <v>18717.099935312275</v>
      </c>
      <c r="N54" s="241">
        <f t="shared" si="22"/>
        <v>19702.481988350024</v>
      </c>
      <c r="O54" s="241">
        <f t="shared" si="22"/>
        <v>20749.075166676314</v>
      </c>
    </row>
    <row r="55" spans="1:15" ht="15.75">
      <c r="A55" s="170"/>
      <c r="B55" s="246"/>
      <c r="C55" s="264"/>
      <c r="D55" s="264"/>
      <c r="E55" s="265"/>
      <c r="F55" s="245"/>
      <c r="G55" s="245"/>
      <c r="H55" s="245"/>
      <c r="I55" s="245"/>
      <c r="J55" s="245"/>
      <c r="K55" s="169"/>
      <c r="L55" s="169"/>
      <c r="M55" s="169"/>
      <c r="N55" s="169"/>
      <c r="O55" s="169"/>
    </row>
    <row r="56" spans="1:15" ht="15.75">
      <c r="A56" s="172" t="s">
        <v>232</v>
      </c>
      <c r="B56" s="169"/>
      <c r="C56" s="169"/>
      <c r="D56" s="169"/>
      <c r="E56" s="169"/>
      <c r="F56" s="266">
        <f t="shared" ref="F56:O56" si="23">F37-F54</f>
        <v>-804.22963039266688</v>
      </c>
      <c r="G56" s="266">
        <f t="shared" si="23"/>
        <v>3769.377851486388</v>
      </c>
      <c r="H56" s="266">
        <f t="shared" si="23"/>
        <v>3786.9125955458439</v>
      </c>
      <c r="I56" s="266">
        <f t="shared" si="23"/>
        <v>3790.7355430236748</v>
      </c>
      <c r="J56" s="266">
        <f t="shared" si="23"/>
        <v>3779.269457028935</v>
      </c>
      <c r="K56" s="266">
        <f t="shared" si="23"/>
        <v>3750.8006867402437</v>
      </c>
      <c r="L56" s="266">
        <f t="shared" si="23"/>
        <v>3703.4684878558837</v>
      </c>
      <c r="M56" s="266">
        <f t="shared" si="23"/>
        <v>3635.2535439160238</v>
      </c>
      <c r="N56" s="266">
        <f t="shared" si="23"/>
        <v>3543.9656300474089</v>
      </c>
      <c r="O56" s="266">
        <f t="shared" si="23"/>
        <v>3427.2303564570211</v>
      </c>
    </row>
    <row r="57" spans="1:15" ht="15.75">
      <c r="A57" s="170"/>
      <c r="B57" s="169" t="s">
        <v>233</v>
      </c>
      <c r="C57" s="169"/>
      <c r="D57" s="169"/>
      <c r="E57" s="170"/>
      <c r="F57" s="252">
        <f t="shared" ref="F57:O57" si="24">F56/F37</f>
        <v>-0.1143111549835852</v>
      </c>
      <c r="G57" s="252">
        <f t="shared" si="24"/>
        <v>0.21337643428981698</v>
      </c>
      <c r="H57" s="252">
        <f t="shared" si="24"/>
        <v>0.20612407569464739</v>
      </c>
      <c r="I57" s="252">
        <f t="shared" si="24"/>
        <v>0.19839630881927151</v>
      </c>
      <c r="J57" s="252">
        <f t="shared" si="24"/>
        <v>0.19018866010963625</v>
      </c>
      <c r="K57" s="252">
        <f t="shared" si="24"/>
        <v>0.18149614654887375</v>
      </c>
      <c r="L57" s="252">
        <f t="shared" si="24"/>
        <v>0.17231327479450245</v>
      </c>
      <c r="M57" s="252">
        <f t="shared" si="24"/>
        <v>0.16263403973519877</v>
      </c>
      <c r="N57" s="252">
        <f t="shared" si="24"/>
        <v>0.15245192247105682</v>
      </c>
      <c r="O57" s="252">
        <f t="shared" si="24"/>
        <v>0.14175988772054698</v>
      </c>
    </row>
    <row r="58" spans="1:15" ht="15.75">
      <c r="A58" s="170"/>
      <c r="B58" s="169"/>
      <c r="C58" s="169"/>
      <c r="D58" s="169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</row>
    <row r="59" spans="1:15" ht="15.75">
      <c r="A59" s="205" t="s">
        <v>234</v>
      </c>
      <c r="B59" s="169"/>
      <c r="C59" s="169" t="s">
        <v>235</v>
      </c>
      <c r="D59" s="169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1:15" ht="15.75">
      <c r="A60" s="170"/>
      <c r="B60" s="169" t="s">
        <v>236</v>
      </c>
      <c r="C60" s="169" t="s">
        <v>237</v>
      </c>
      <c r="D60" s="169"/>
      <c r="E60" s="170"/>
      <c r="F60" s="170">
        <f t="shared" ref="F60:O60" si="25">(F39*30)/365</f>
        <v>572.47304400000007</v>
      </c>
      <c r="G60" s="170">
        <f t="shared" si="25"/>
        <v>1437.4303349999998</v>
      </c>
      <c r="H60" s="170">
        <f t="shared" si="25"/>
        <v>1494.9275484000002</v>
      </c>
      <c r="I60" s="170">
        <f t="shared" si="25"/>
        <v>1554.724650336</v>
      </c>
      <c r="J60" s="170">
        <f t="shared" si="25"/>
        <v>1616.9136363494401</v>
      </c>
      <c r="K60" s="170">
        <f t="shared" si="25"/>
        <v>1681.5901818034176</v>
      </c>
      <c r="L60" s="170">
        <f t="shared" si="25"/>
        <v>1748.8537890755547</v>
      </c>
      <c r="M60" s="170">
        <f t="shared" si="25"/>
        <v>1818.8079406385766</v>
      </c>
      <c r="N60" s="170">
        <f t="shared" si="25"/>
        <v>1891.5602582641202</v>
      </c>
      <c r="O60" s="170">
        <f t="shared" si="25"/>
        <v>1967.2226685946848</v>
      </c>
    </row>
    <row r="61" spans="1:15" ht="15.75">
      <c r="A61" s="170"/>
      <c r="B61" s="169" t="s">
        <v>238</v>
      </c>
      <c r="C61" s="169" t="s">
        <v>239</v>
      </c>
      <c r="D61" s="169"/>
      <c r="E61" s="170"/>
      <c r="F61" s="170">
        <f t="shared" ref="F61:O61" si="26">(F39*$C$43*60)/365</f>
        <v>186.62621234400001</v>
      </c>
      <c r="G61" s="170">
        <f t="shared" si="26"/>
        <v>468.60228920999998</v>
      </c>
      <c r="H61" s="170">
        <f t="shared" si="26"/>
        <v>487.34638077840003</v>
      </c>
      <c r="I61" s="170">
        <f t="shared" si="26"/>
        <v>506.84023600953594</v>
      </c>
      <c r="J61" s="170">
        <f t="shared" si="26"/>
        <v>527.11384544991756</v>
      </c>
      <c r="K61" s="170">
        <f t="shared" si="26"/>
        <v>548.19839926791417</v>
      </c>
      <c r="L61" s="170">
        <f t="shared" si="26"/>
        <v>570.12633523863087</v>
      </c>
      <c r="M61" s="170">
        <f t="shared" si="26"/>
        <v>592.93138864817604</v>
      </c>
      <c r="N61" s="170">
        <f t="shared" si="26"/>
        <v>616.64864419410321</v>
      </c>
      <c r="O61" s="170">
        <f t="shared" si="26"/>
        <v>641.31458996186734</v>
      </c>
    </row>
    <row r="62" spans="1:15" ht="15.75">
      <c r="A62" s="170"/>
      <c r="B62" s="169" t="s">
        <v>240</v>
      </c>
      <c r="C62" s="169" t="s">
        <v>237</v>
      </c>
      <c r="D62" s="169"/>
      <c r="E62" s="170"/>
      <c r="F62" s="170">
        <f t="shared" ref="F62:O62" si="27">(F39*$C$43*30)/365</f>
        <v>93.313106172000005</v>
      </c>
      <c r="G62" s="170">
        <f t="shared" si="27"/>
        <v>234.30114460499999</v>
      </c>
      <c r="H62" s="170">
        <f t="shared" si="27"/>
        <v>243.67319038920002</v>
      </c>
      <c r="I62" s="170">
        <f t="shared" si="27"/>
        <v>253.42011800476797</v>
      </c>
      <c r="J62" s="170">
        <f t="shared" si="27"/>
        <v>263.55692272495878</v>
      </c>
      <c r="K62" s="170">
        <f t="shared" si="27"/>
        <v>274.09919963395708</v>
      </c>
      <c r="L62" s="170">
        <f t="shared" si="27"/>
        <v>285.06316761931544</v>
      </c>
      <c r="M62" s="170">
        <f t="shared" si="27"/>
        <v>296.46569432408802</v>
      </c>
      <c r="N62" s="170">
        <f t="shared" si="27"/>
        <v>308.32432209705161</v>
      </c>
      <c r="O62" s="170">
        <f t="shared" si="27"/>
        <v>320.65729498093367</v>
      </c>
    </row>
    <row r="63" spans="1:15" ht="15.75">
      <c r="A63" s="170"/>
      <c r="B63" s="169" t="s">
        <v>234</v>
      </c>
      <c r="C63" s="169"/>
      <c r="D63" s="169"/>
      <c r="E63" s="170"/>
      <c r="F63" s="170">
        <f t="shared" ref="F63:O63" si="28">(F60+F61-F62)</f>
        <v>665.78615017200013</v>
      </c>
      <c r="G63" s="170">
        <f t="shared" si="28"/>
        <v>1671.7314796049998</v>
      </c>
      <c r="H63" s="170">
        <f t="shared" si="28"/>
        <v>1738.6007387892002</v>
      </c>
      <c r="I63" s="170">
        <f t="shared" si="28"/>
        <v>1808.1447683407678</v>
      </c>
      <c r="J63" s="170">
        <f t="shared" si="28"/>
        <v>1880.4705590743988</v>
      </c>
      <c r="K63" s="170">
        <f t="shared" si="28"/>
        <v>1955.6893814373748</v>
      </c>
      <c r="L63" s="170">
        <f t="shared" si="28"/>
        <v>2033.9169566948701</v>
      </c>
      <c r="M63" s="170">
        <f t="shared" si="28"/>
        <v>2115.2736349626648</v>
      </c>
      <c r="N63" s="170">
        <f t="shared" si="28"/>
        <v>2199.8845803611716</v>
      </c>
      <c r="O63" s="170">
        <f t="shared" si="28"/>
        <v>2287.8799635756181</v>
      </c>
    </row>
    <row r="64" spans="1:15" ht="15.75">
      <c r="A64" s="170"/>
      <c r="B64" s="169" t="s">
        <v>241</v>
      </c>
      <c r="C64" s="169"/>
      <c r="D64" s="169"/>
      <c r="E64" s="170"/>
      <c r="F64" s="170">
        <f>F63</f>
        <v>665.78615017200013</v>
      </c>
      <c r="G64" s="170">
        <f t="shared" ref="G64:O64" si="29">G63-F63</f>
        <v>1005.9453294329996</v>
      </c>
      <c r="H64" s="170">
        <f t="shared" si="29"/>
        <v>66.869259184200473</v>
      </c>
      <c r="I64" s="170">
        <f t="shared" si="29"/>
        <v>69.544029551567519</v>
      </c>
      <c r="J64" s="170">
        <f t="shared" si="29"/>
        <v>72.325790733631038</v>
      </c>
      <c r="K64" s="170">
        <f t="shared" si="29"/>
        <v>75.21882236297597</v>
      </c>
      <c r="L64" s="170">
        <f t="shared" si="29"/>
        <v>78.227575257495346</v>
      </c>
      <c r="M64" s="170">
        <f t="shared" si="29"/>
        <v>81.356678267794678</v>
      </c>
      <c r="N64" s="170">
        <f t="shared" si="29"/>
        <v>84.610945398506828</v>
      </c>
      <c r="O64" s="170">
        <f t="shared" si="29"/>
        <v>87.99538321444652</v>
      </c>
    </row>
    <row r="65" spans="1:15" ht="15.75">
      <c r="A65" s="170"/>
      <c r="B65" s="169"/>
      <c r="C65" s="169"/>
      <c r="D65" s="169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1:15" ht="15.75">
      <c r="A66" s="205" t="s">
        <v>242</v>
      </c>
      <c r="B66" s="169"/>
      <c r="C66" s="169"/>
      <c r="D66" s="169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1:15" ht="15.75">
      <c r="A67" s="170"/>
      <c r="B67" s="169" t="str">
        <f>A56</f>
        <v>Operating Profit</v>
      </c>
      <c r="C67" s="169"/>
      <c r="D67" s="169"/>
      <c r="E67" s="170"/>
      <c r="F67" s="266">
        <f t="shared" ref="F67:O67" si="30">F56</f>
        <v>-804.22963039266688</v>
      </c>
      <c r="G67" s="266">
        <f t="shared" si="30"/>
        <v>3769.377851486388</v>
      </c>
      <c r="H67" s="266">
        <f t="shared" si="30"/>
        <v>3786.9125955458439</v>
      </c>
      <c r="I67" s="266">
        <f t="shared" si="30"/>
        <v>3790.7355430236748</v>
      </c>
      <c r="J67" s="266">
        <f t="shared" si="30"/>
        <v>3779.269457028935</v>
      </c>
      <c r="K67" s="266">
        <f t="shared" si="30"/>
        <v>3750.8006867402437</v>
      </c>
      <c r="L67" s="266">
        <f t="shared" si="30"/>
        <v>3703.4684878558837</v>
      </c>
      <c r="M67" s="266">
        <f t="shared" si="30"/>
        <v>3635.2535439160238</v>
      </c>
      <c r="N67" s="266">
        <f t="shared" si="30"/>
        <v>3543.9656300474089</v>
      </c>
      <c r="O67" s="266">
        <f t="shared" si="30"/>
        <v>3427.2303564570211</v>
      </c>
    </row>
    <row r="68" spans="1:15" ht="15.75">
      <c r="A68" s="170"/>
      <c r="B68" s="169" t="s">
        <v>243</v>
      </c>
      <c r="C68" s="169"/>
      <c r="D68" s="169"/>
      <c r="E68" s="170"/>
      <c r="F68" s="266">
        <f t="shared" ref="F68:O68" si="31">F48</f>
        <v>500</v>
      </c>
      <c r="G68" s="266">
        <f t="shared" si="31"/>
        <v>500</v>
      </c>
      <c r="H68" s="266">
        <f t="shared" si="31"/>
        <v>500</v>
      </c>
      <c r="I68" s="266">
        <f t="shared" si="31"/>
        <v>500</v>
      </c>
      <c r="J68" s="266">
        <f t="shared" si="31"/>
        <v>500</v>
      </c>
      <c r="K68" s="266">
        <f t="shared" si="31"/>
        <v>500</v>
      </c>
      <c r="L68" s="266">
        <f t="shared" si="31"/>
        <v>500</v>
      </c>
      <c r="M68" s="266">
        <f t="shared" si="31"/>
        <v>500</v>
      </c>
      <c r="N68" s="266">
        <f t="shared" si="31"/>
        <v>500</v>
      </c>
      <c r="O68" s="266">
        <f t="shared" si="31"/>
        <v>500</v>
      </c>
    </row>
    <row r="69" spans="1:15" ht="15.75">
      <c r="A69" s="170"/>
      <c r="B69" s="169" t="s">
        <v>244</v>
      </c>
      <c r="C69" s="169"/>
      <c r="D69" s="169"/>
      <c r="E69" s="266">
        <f>-$C$48/2/1000</f>
        <v>-7500</v>
      </c>
      <c r="F69" s="266">
        <f>-$C$48/2/1000</f>
        <v>-7500</v>
      </c>
      <c r="G69" s="266">
        <v>0</v>
      </c>
      <c r="H69" s="266">
        <f t="shared" ref="H69:O69" si="32">G69</f>
        <v>0</v>
      </c>
      <c r="I69" s="266">
        <f t="shared" si="32"/>
        <v>0</v>
      </c>
      <c r="J69" s="266">
        <f t="shared" si="32"/>
        <v>0</v>
      </c>
      <c r="K69" s="266">
        <f t="shared" si="32"/>
        <v>0</v>
      </c>
      <c r="L69" s="266">
        <f t="shared" si="32"/>
        <v>0</v>
      </c>
      <c r="M69" s="266">
        <f t="shared" si="32"/>
        <v>0</v>
      </c>
      <c r="N69" s="266">
        <f t="shared" si="32"/>
        <v>0</v>
      </c>
      <c r="O69" s="266">
        <f t="shared" si="32"/>
        <v>0</v>
      </c>
    </row>
    <row r="70" spans="1:15" ht="15.75">
      <c r="A70" s="170"/>
      <c r="B70" s="267" t="s">
        <v>245</v>
      </c>
      <c r="C70" s="267"/>
      <c r="D70" s="267"/>
      <c r="E70" s="267"/>
      <c r="F70" s="268">
        <f t="shared" ref="F70:O70" si="33">-F64</f>
        <v>-665.78615017200013</v>
      </c>
      <c r="G70" s="268">
        <f t="shared" si="33"/>
        <v>-1005.9453294329996</v>
      </c>
      <c r="H70" s="268">
        <f t="shared" si="33"/>
        <v>-66.869259184200473</v>
      </c>
      <c r="I70" s="268">
        <f t="shared" si="33"/>
        <v>-69.544029551567519</v>
      </c>
      <c r="J70" s="268">
        <f t="shared" si="33"/>
        <v>-72.325790733631038</v>
      </c>
      <c r="K70" s="268">
        <f t="shared" si="33"/>
        <v>-75.21882236297597</v>
      </c>
      <c r="L70" s="268">
        <f t="shared" si="33"/>
        <v>-78.227575257495346</v>
      </c>
      <c r="M70" s="268">
        <f t="shared" si="33"/>
        <v>-81.356678267794678</v>
      </c>
      <c r="N70" s="268">
        <f t="shared" si="33"/>
        <v>-84.610945398506828</v>
      </c>
      <c r="O70" s="268">
        <f t="shared" si="33"/>
        <v>-87.99538321444652</v>
      </c>
    </row>
    <row r="71" spans="1:15" ht="15.75">
      <c r="A71" s="170"/>
      <c r="B71" s="172" t="s">
        <v>246</v>
      </c>
      <c r="C71" s="172" t="str">
        <f>C37</f>
        <v>(000 omitted)</v>
      </c>
      <c r="D71" s="172"/>
      <c r="E71" s="269">
        <f t="shared" ref="E71:O71" si="34">SUM(E67:E70)</f>
        <v>-7500</v>
      </c>
      <c r="F71" s="269">
        <f t="shared" si="34"/>
        <v>-8470.0157805646668</v>
      </c>
      <c r="G71" s="269">
        <f t="shared" si="34"/>
        <v>3263.4325220533883</v>
      </c>
      <c r="H71" s="269">
        <f t="shared" si="34"/>
        <v>4220.043336361643</v>
      </c>
      <c r="I71" s="269">
        <f t="shared" si="34"/>
        <v>4221.1915134721075</v>
      </c>
      <c r="J71" s="269">
        <f t="shared" si="34"/>
        <v>4206.943666295304</v>
      </c>
      <c r="K71" s="269">
        <f t="shared" si="34"/>
        <v>4175.5818643772673</v>
      </c>
      <c r="L71" s="269">
        <f t="shared" si="34"/>
        <v>4125.2409125983886</v>
      </c>
      <c r="M71" s="269">
        <f t="shared" si="34"/>
        <v>4053.8968656482293</v>
      </c>
      <c r="N71" s="269">
        <f t="shared" si="34"/>
        <v>3959.3546846489021</v>
      </c>
      <c r="O71" s="269">
        <f t="shared" si="34"/>
        <v>3839.2349732425746</v>
      </c>
    </row>
    <row r="72" spans="1:15" ht="16.5" thickBot="1">
      <c r="A72" s="170"/>
      <c r="B72" s="270"/>
      <c r="C72" s="169"/>
      <c r="D72" s="169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1:15" ht="15.75">
      <c r="A73" s="170"/>
      <c r="B73" s="271" t="s">
        <v>247</v>
      </c>
      <c r="C73" s="272">
        <f>NPV(C10,F71:AA71)+E71</f>
        <v>5687.3549210569163</v>
      </c>
      <c r="D73" s="172" t="str">
        <f>I5</f>
        <v>(000 ommited)</v>
      </c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1:15" ht="16.5" thickBot="1">
      <c r="A74" s="170"/>
      <c r="B74" s="186" t="s">
        <v>248</v>
      </c>
      <c r="C74" s="273">
        <f>IRR(E71:AA71)</f>
        <v>0.17638092514880221</v>
      </c>
      <c r="D74" s="252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1:15" ht="15.75">
      <c r="A75" s="170"/>
      <c r="B75" s="169"/>
      <c r="C75" s="252"/>
      <c r="D75" s="252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1:15" ht="15.75">
      <c r="A76" s="170"/>
      <c r="B76" s="181"/>
      <c r="C76" s="274"/>
      <c r="D76" s="169"/>
      <c r="E76" s="275" t="s">
        <v>191</v>
      </c>
      <c r="F76" s="204">
        <v>1</v>
      </c>
      <c r="G76" s="204">
        <v>2</v>
      </c>
      <c r="H76" s="204">
        <v>3</v>
      </c>
      <c r="I76" s="204">
        <v>4</v>
      </c>
      <c r="J76" s="204">
        <v>5</v>
      </c>
      <c r="K76" s="204">
        <v>6</v>
      </c>
      <c r="L76" s="204">
        <v>7</v>
      </c>
      <c r="M76" s="204">
        <v>8</v>
      </c>
      <c r="N76" s="204">
        <v>9</v>
      </c>
      <c r="O76" s="204">
        <v>10</v>
      </c>
    </row>
    <row r="77" spans="1:15" ht="15.75">
      <c r="A77" s="170"/>
      <c r="B77" s="169" t="s">
        <v>249</v>
      </c>
      <c r="C77" s="274"/>
      <c r="D77" s="169"/>
      <c r="E77" s="170"/>
      <c r="F77" s="276">
        <v>0</v>
      </c>
      <c r="G77" s="276">
        <v>0</v>
      </c>
      <c r="H77" s="276">
        <v>0</v>
      </c>
      <c r="I77" s="276">
        <v>0</v>
      </c>
      <c r="J77" s="276">
        <v>0</v>
      </c>
      <c r="K77" s="276">
        <v>0</v>
      </c>
      <c r="L77" s="276">
        <v>0</v>
      </c>
      <c r="M77" s="276">
        <v>0</v>
      </c>
      <c r="N77" s="276">
        <v>0</v>
      </c>
      <c r="O77" s="274">
        <f>O63</f>
        <v>2287.8799635756181</v>
      </c>
    </row>
    <row r="78" spans="1:15" ht="15.75">
      <c r="A78" s="170"/>
      <c r="B78" s="169" t="s">
        <v>250</v>
      </c>
      <c r="C78" s="274"/>
      <c r="D78" s="169"/>
      <c r="E78" s="170"/>
      <c r="F78" s="276">
        <v>0</v>
      </c>
      <c r="G78" s="276">
        <v>0</v>
      </c>
      <c r="H78" s="276">
        <v>0</v>
      </c>
      <c r="I78" s="276">
        <v>0</v>
      </c>
      <c r="J78" s="276">
        <v>0</v>
      </c>
      <c r="K78" s="276">
        <v>0</v>
      </c>
      <c r="L78" s="276">
        <v>0</v>
      </c>
      <c r="M78" s="276">
        <v>0</v>
      </c>
      <c r="N78" s="276">
        <v>0</v>
      </c>
      <c r="O78" s="274">
        <f>15000-SUM(F68:O68)</f>
        <v>10000</v>
      </c>
    </row>
    <row r="79" spans="1:15" ht="16.5" thickBot="1">
      <c r="A79" s="170"/>
      <c r="B79" s="169"/>
      <c r="C79" s="169"/>
      <c r="D79" s="169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1:15" ht="15.75">
      <c r="A80" s="170"/>
      <c r="B80" s="271" t="s">
        <v>251</v>
      </c>
      <c r="C80" s="272">
        <f>NPV(C10,F80:O80)+E80</f>
        <v>10424.864582329094</v>
      </c>
      <c r="D80" s="277" t="s">
        <v>184</v>
      </c>
      <c r="E80" s="266">
        <f t="shared" ref="E80:O80" si="35">E71+SUM(E77:E78)</f>
        <v>-7500</v>
      </c>
      <c r="F80" s="266">
        <f t="shared" si="35"/>
        <v>-8470.0157805646668</v>
      </c>
      <c r="G80" s="266">
        <f t="shared" si="35"/>
        <v>3263.4325220533883</v>
      </c>
      <c r="H80" s="266">
        <f t="shared" si="35"/>
        <v>4220.043336361643</v>
      </c>
      <c r="I80" s="266">
        <f t="shared" si="35"/>
        <v>4221.1915134721075</v>
      </c>
      <c r="J80" s="266">
        <f t="shared" si="35"/>
        <v>4206.943666295304</v>
      </c>
      <c r="K80" s="266">
        <f t="shared" si="35"/>
        <v>4175.5818643772673</v>
      </c>
      <c r="L80" s="266">
        <f t="shared" si="35"/>
        <v>4125.2409125983886</v>
      </c>
      <c r="M80" s="266">
        <f t="shared" si="35"/>
        <v>4053.8968656482293</v>
      </c>
      <c r="N80" s="266">
        <f t="shared" si="35"/>
        <v>3959.3546846489021</v>
      </c>
      <c r="O80" s="266">
        <f t="shared" si="35"/>
        <v>16127.114936818194</v>
      </c>
    </row>
    <row r="81" spans="1:15" ht="16.5" thickBot="1">
      <c r="A81" s="170"/>
      <c r="B81" s="186" t="s">
        <v>252</v>
      </c>
      <c r="C81" s="273">
        <f>IRR(E80:O80)</f>
        <v>0.21182909144833961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1:15" ht="15.75">
      <c r="A82" s="170"/>
      <c r="B82" s="169"/>
      <c r="C82" s="169"/>
      <c r="D82" s="169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1:15" ht="15.75">
      <c r="A83" s="170"/>
      <c r="B83" s="172" t="s">
        <v>253</v>
      </c>
      <c r="C83" s="169"/>
      <c r="D83" s="172" t="str">
        <f>I5</f>
        <v>(000 ommited)</v>
      </c>
      <c r="E83" s="170"/>
      <c r="F83" s="266">
        <f t="shared" ref="F83:O83" si="36">F67-15000*0.08</f>
        <v>-2004.2296303926669</v>
      </c>
      <c r="G83" s="266">
        <f t="shared" si="36"/>
        <v>2569.377851486388</v>
      </c>
      <c r="H83" s="266">
        <f t="shared" si="36"/>
        <v>2586.9125955458439</v>
      </c>
      <c r="I83" s="266">
        <f t="shared" si="36"/>
        <v>2590.7355430236748</v>
      </c>
      <c r="J83" s="266">
        <f t="shared" si="36"/>
        <v>2579.269457028935</v>
      </c>
      <c r="K83" s="266">
        <f t="shared" si="36"/>
        <v>2550.8006867402437</v>
      </c>
      <c r="L83" s="266">
        <f t="shared" si="36"/>
        <v>2503.4684878558837</v>
      </c>
      <c r="M83" s="266">
        <f t="shared" si="36"/>
        <v>2435.2535439160238</v>
      </c>
      <c r="N83" s="266">
        <f t="shared" si="36"/>
        <v>2343.9656300474089</v>
      </c>
      <c r="O83" s="266">
        <f t="shared" si="36"/>
        <v>2227.2303564570211</v>
      </c>
    </row>
    <row r="84" spans="1:15" ht="15.75">
      <c r="A84" s="170"/>
      <c r="B84" s="172" t="s">
        <v>254</v>
      </c>
      <c r="C84" s="169"/>
      <c r="D84" s="169"/>
      <c r="E84" s="170"/>
      <c r="F84" s="278">
        <f t="shared" ref="F84:O84" si="37">F83/F39</f>
        <v>-0.28775364049809726</v>
      </c>
      <c r="G84" s="278">
        <f t="shared" si="37"/>
        <v>0.1469161573093275</v>
      </c>
      <c r="H84" s="278">
        <f t="shared" si="37"/>
        <v>0.14222960389359998</v>
      </c>
      <c r="I84" s="278">
        <f t="shared" si="37"/>
        <v>0.1369613377351</v>
      </c>
      <c r="J84" s="278">
        <f t="shared" si="37"/>
        <v>0.13111074402923387</v>
      </c>
      <c r="K84" s="278">
        <f t="shared" si="37"/>
        <v>0.12467654321108586</v>
      </c>
      <c r="L84" s="278">
        <f t="shared" si="37"/>
        <v>0.11765679585895862</v>
      </c>
      <c r="M84" s="278">
        <f t="shared" si="37"/>
        <v>0.11004890678950398</v>
      </c>
      <c r="N84" s="278">
        <f t="shared" si="37"/>
        <v>0.10184962835694374</v>
      </c>
      <c r="O84" s="278">
        <f t="shared" si="37"/>
        <v>9.3055062967838331E-2</v>
      </c>
    </row>
    <row r="85" spans="1:15" ht="15.75">
      <c r="A85" s="170"/>
      <c r="B85" s="169"/>
      <c r="C85" s="169"/>
      <c r="D85" s="169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1:15" ht="15.75">
      <c r="A86" s="279" t="s">
        <v>255</v>
      </c>
      <c r="B86" s="280" t="s">
        <v>256</v>
      </c>
      <c r="C86" s="281"/>
      <c r="D86" s="281"/>
      <c r="E86" s="279"/>
      <c r="F86" s="279"/>
      <c r="G86" s="279"/>
      <c r="H86" s="279"/>
      <c r="I86" s="279"/>
      <c r="J86" s="170"/>
      <c r="K86" s="170"/>
      <c r="L86" s="170"/>
      <c r="M86" s="170"/>
      <c r="N86" s="170"/>
      <c r="O86" s="170"/>
    </row>
    <row r="87" spans="1:15" ht="15.75">
      <c r="A87" s="279"/>
      <c r="B87" s="281"/>
      <c r="C87" s="281"/>
      <c r="D87" s="281"/>
      <c r="E87" s="279"/>
      <c r="F87" s="279"/>
      <c r="G87" s="279"/>
      <c r="H87" s="282" t="s">
        <v>257</v>
      </c>
      <c r="I87" s="283"/>
      <c r="J87" s="284"/>
      <c r="K87" s="170"/>
      <c r="L87" s="170"/>
      <c r="M87" s="170"/>
      <c r="N87" s="170"/>
      <c r="O87" s="170"/>
    </row>
    <row r="88" spans="1:15" ht="15.75">
      <c r="A88" s="285" t="s">
        <v>258</v>
      </c>
      <c r="B88" s="281" t="s">
        <v>259</v>
      </c>
      <c r="C88" s="281"/>
      <c r="D88" s="281"/>
      <c r="E88" s="279"/>
      <c r="F88" s="279"/>
      <c r="G88" s="279"/>
      <c r="H88" s="286" t="s">
        <v>260</v>
      </c>
      <c r="I88" s="287"/>
      <c r="J88" s="288"/>
      <c r="K88" s="170"/>
      <c r="L88" s="170"/>
      <c r="M88" s="170"/>
      <c r="N88" s="170"/>
      <c r="O88" s="170"/>
    </row>
    <row r="89" spans="1:15" ht="15.75">
      <c r="A89" s="285"/>
      <c r="B89" s="281" t="s">
        <v>261</v>
      </c>
      <c r="C89" s="281"/>
      <c r="D89" s="281"/>
      <c r="E89" s="279"/>
      <c r="F89" s="279"/>
      <c r="G89" s="279"/>
      <c r="H89" s="286"/>
      <c r="I89" s="287"/>
      <c r="J89" s="288"/>
      <c r="K89" s="170"/>
      <c r="L89" s="170"/>
      <c r="M89" s="170"/>
      <c r="N89" s="170"/>
      <c r="O89" s="170"/>
    </row>
    <row r="90" spans="1:15" ht="16.5" thickBot="1">
      <c r="A90" s="285"/>
      <c r="B90" s="281" t="s">
        <v>262</v>
      </c>
      <c r="C90" s="281"/>
      <c r="D90" s="281"/>
      <c r="E90" s="279"/>
      <c r="F90" s="279"/>
      <c r="G90" s="279"/>
      <c r="H90" s="286"/>
      <c r="I90" s="287"/>
      <c r="J90" s="288"/>
      <c r="K90" s="170"/>
      <c r="L90" s="170"/>
      <c r="M90" s="170"/>
      <c r="N90" s="170"/>
      <c r="O90" s="170"/>
    </row>
    <row r="91" spans="1:15" ht="15.75">
      <c r="A91" s="285"/>
      <c r="B91" s="289" t="s">
        <v>263</v>
      </c>
      <c r="C91" s="290"/>
      <c r="D91" s="290"/>
      <c r="E91" s="290"/>
      <c r="F91" s="290"/>
      <c r="G91" s="291"/>
      <c r="H91" s="286">
        <v>5</v>
      </c>
      <c r="I91" s="287" t="s">
        <v>264</v>
      </c>
      <c r="J91" s="288"/>
      <c r="K91" s="170"/>
      <c r="L91" s="170"/>
      <c r="M91" s="170"/>
      <c r="N91" s="170"/>
      <c r="O91" s="170"/>
    </row>
    <row r="92" spans="1:15" ht="15.75">
      <c r="A92" s="285"/>
      <c r="B92" s="292" t="s">
        <v>265</v>
      </c>
      <c r="C92" s="293"/>
      <c r="D92" s="293"/>
      <c r="E92" s="293"/>
      <c r="F92" s="293"/>
      <c r="G92" s="294"/>
      <c r="H92" s="286"/>
      <c r="I92" s="287"/>
      <c r="J92" s="288"/>
      <c r="K92" s="170"/>
      <c r="L92" s="170"/>
      <c r="M92" s="170"/>
      <c r="N92" s="170"/>
      <c r="O92" s="170"/>
    </row>
    <row r="93" spans="1:15" ht="15.75">
      <c r="A93" s="285"/>
      <c r="B93" s="292" t="s">
        <v>266</v>
      </c>
      <c r="C93" s="293"/>
      <c r="D93" s="293"/>
      <c r="E93" s="293"/>
      <c r="F93" s="293"/>
      <c r="G93" s="294"/>
      <c r="H93" s="286"/>
      <c r="I93" s="287"/>
      <c r="J93" s="288"/>
      <c r="K93" s="170"/>
      <c r="L93" s="170"/>
      <c r="M93" s="170"/>
      <c r="N93" s="170"/>
      <c r="O93" s="170"/>
    </row>
    <row r="94" spans="1:15" ht="15.75">
      <c r="A94" s="285"/>
      <c r="B94" s="292" t="s">
        <v>267</v>
      </c>
      <c r="C94" s="293"/>
      <c r="D94" s="293"/>
      <c r="E94" s="293"/>
      <c r="F94" s="293"/>
      <c r="G94" s="294"/>
      <c r="H94" s="295">
        <v>5</v>
      </c>
      <c r="I94" s="287" t="s">
        <v>268</v>
      </c>
      <c r="J94" s="288"/>
      <c r="K94" s="170"/>
      <c r="L94" s="170"/>
      <c r="M94" s="170"/>
      <c r="N94" s="170"/>
      <c r="O94" s="170"/>
    </row>
    <row r="95" spans="1:15" ht="15.75">
      <c r="A95" s="285"/>
      <c r="B95" s="292" t="s">
        <v>269</v>
      </c>
      <c r="C95" s="293"/>
      <c r="D95" s="293"/>
      <c r="E95" s="293"/>
      <c r="F95" s="293"/>
      <c r="G95" s="294"/>
      <c r="H95" s="286">
        <v>10</v>
      </c>
      <c r="I95" s="287" t="s">
        <v>270</v>
      </c>
      <c r="J95" s="288"/>
      <c r="K95" s="170"/>
      <c r="L95" s="170"/>
      <c r="M95" s="170"/>
      <c r="N95" s="170"/>
      <c r="O95" s="170"/>
    </row>
    <row r="96" spans="1:15" ht="16.5" thickBot="1">
      <c r="A96" s="296"/>
      <c r="B96" s="297" t="s">
        <v>271</v>
      </c>
      <c r="C96" s="298"/>
      <c r="D96" s="298"/>
      <c r="E96" s="298"/>
      <c r="F96" s="298"/>
      <c r="G96" s="299"/>
      <c r="H96" s="300"/>
      <c r="I96" s="301"/>
      <c r="J96" s="302"/>
      <c r="K96" s="303"/>
      <c r="L96" s="303"/>
      <c r="M96" s="303"/>
      <c r="N96" s="303"/>
      <c r="O96" s="303"/>
    </row>
    <row r="97" spans="1:10" ht="15.75">
      <c r="A97" s="304" t="s">
        <v>182</v>
      </c>
      <c r="B97" s="305"/>
      <c r="C97" s="305"/>
      <c r="D97" s="305"/>
      <c r="E97" s="305"/>
      <c r="F97" s="305"/>
      <c r="G97" s="305"/>
      <c r="H97" s="306"/>
      <c r="I97" s="307"/>
      <c r="J97" s="308"/>
    </row>
    <row r="98" spans="1:10" ht="15.75">
      <c r="A98" s="304" t="s">
        <v>272</v>
      </c>
      <c r="B98" s="309" t="s">
        <v>273</v>
      </c>
      <c r="C98" s="305"/>
      <c r="D98" s="305"/>
      <c r="E98" s="305"/>
      <c r="F98" s="305"/>
      <c r="G98" s="305"/>
      <c r="H98" s="306"/>
      <c r="I98" s="307"/>
      <c r="J98" s="308"/>
    </row>
    <row r="99" spans="1:10" ht="16.5" thickBot="1">
      <c r="A99" s="304"/>
      <c r="B99" s="309" t="s">
        <v>274</v>
      </c>
      <c r="C99" s="305"/>
      <c r="D99" s="305"/>
      <c r="E99" s="305"/>
      <c r="F99" s="305"/>
      <c r="G99" s="305"/>
      <c r="H99" s="306"/>
      <c r="I99" s="307"/>
      <c r="J99" s="308"/>
    </row>
    <row r="100" spans="1:10" ht="15.75">
      <c r="A100" s="304" t="s">
        <v>275</v>
      </c>
      <c r="B100" s="310" t="s">
        <v>276</v>
      </c>
      <c r="C100" s="311"/>
      <c r="D100" s="311"/>
      <c r="E100" s="311"/>
      <c r="F100" s="311"/>
      <c r="G100" s="312"/>
      <c r="H100" s="306">
        <v>3</v>
      </c>
      <c r="I100" s="307" t="s">
        <v>277</v>
      </c>
      <c r="J100" s="308"/>
    </row>
    <row r="101" spans="1:10" ht="15.75">
      <c r="A101" s="304"/>
      <c r="B101" s="313" t="s">
        <v>278</v>
      </c>
      <c r="C101" s="314"/>
      <c r="D101" s="314"/>
      <c r="E101" s="314"/>
      <c r="F101" s="314"/>
      <c r="G101" s="315"/>
      <c r="H101" s="306"/>
      <c r="I101" s="307" t="s">
        <v>279</v>
      </c>
      <c r="J101" s="308"/>
    </row>
    <row r="102" spans="1:10" ht="15.75">
      <c r="A102" s="304"/>
      <c r="B102" s="313" t="s">
        <v>280</v>
      </c>
      <c r="C102" s="314"/>
      <c r="D102" s="314"/>
      <c r="E102" s="314"/>
      <c r="F102" s="314"/>
      <c r="G102" s="315"/>
      <c r="H102" s="306"/>
      <c r="I102" s="307" t="s">
        <v>281</v>
      </c>
      <c r="J102" s="308"/>
    </row>
    <row r="103" spans="1:10" ht="16.5" thickBot="1">
      <c r="A103" s="304"/>
      <c r="B103" s="313" t="s">
        <v>282</v>
      </c>
      <c r="C103" s="314"/>
      <c r="D103" s="314"/>
      <c r="E103" s="314"/>
      <c r="F103" s="314"/>
      <c r="G103" s="315"/>
      <c r="H103" s="306"/>
      <c r="I103" s="307"/>
      <c r="J103" s="308"/>
    </row>
    <row r="104" spans="1:10" ht="16.5" thickBot="1">
      <c r="A104" s="304"/>
      <c r="B104" s="313" t="s">
        <v>283</v>
      </c>
      <c r="C104" s="314"/>
      <c r="D104" s="314"/>
      <c r="E104" s="314"/>
      <c r="F104" s="316" t="s">
        <v>284</v>
      </c>
      <c r="G104" s="317"/>
      <c r="H104" s="306">
        <v>3</v>
      </c>
      <c r="I104" s="307" t="s">
        <v>285</v>
      </c>
      <c r="J104" s="308"/>
    </row>
    <row r="105" spans="1:10" ht="15.75">
      <c r="A105" s="304"/>
      <c r="B105" s="313"/>
      <c r="C105" s="318" t="s">
        <v>286</v>
      </c>
      <c r="D105" s="319" t="s">
        <v>287</v>
      </c>
      <c r="E105" s="314"/>
      <c r="F105" s="320" t="s">
        <v>288</v>
      </c>
      <c r="G105" s="321" t="s">
        <v>287</v>
      </c>
      <c r="H105" s="306"/>
      <c r="I105" s="307" t="s">
        <v>289</v>
      </c>
      <c r="J105" s="308"/>
    </row>
    <row r="106" spans="1:10" ht="15.75">
      <c r="A106" s="304"/>
      <c r="B106" s="313" t="s">
        <v>290</v>
      </c>
      <c r="C106" s="322">
        <f>C80</f>
        <v>10424.864582329094</v>
      </c>
      <c r="D106" s="323">
        <f>C81</f>
        <v>0.21182909144833961</v>
      </c>
      <c r="E106" s="314"/>
      <c r="F106" s="324">
        <v>4000</v>
      </c>
      <c r="G106" s="325">
        <v>0.15</v>
      </c>
      <c r="H106" s="306"/>
      <c r="I106" s="307" t="s">
        <v>291</v>
      </c>
      <c r="J106" s="308"/>
    </row>
    <row r="107" spans="1:10" ht="16.5" thickBot="1">
      <c r="A107" s="304"/>
      <c r="B107" s="313" t="s">
        <v>292</v>
      </c>
      <c r="C107" s="326">
        <f>C73</f>
        <v>5687.3549210569163</v>
      </c>
      <c r="D107" s="327">
        <f>C74</f>
        <v>0.17638092514880221</v>
      </c>
      <c r="E107" s="314"/>
      <c r="F107" s="328">
        <v>-1200</v>
      </c>
      <c r="G107" s="329">
        <v>0.08</v>
      </c>
      <c r="H107" s="306"/>
      <c r="I107" s="307" t="s">
        <v>293</v>
      </c>
      <c r="J107" s="308"/>
    </row>
    <row r="108" spans="1:10" ht="15.75">
      <c r="A108" s="304"/>
      <c r="B108" s="313"/>
      <c r="C108" s="314"/>
      <c r="D108" s="314"/>
      <c r="E108" s="314"/>
      <c r="F108" s="314"/>
      <c r="G108" s="315"/>
      <c r="H108" s="306"/>
      <c r="I108" s="307"/>
      <c r="J108" s="308"/>
    </row>
    <row r="109" spans="1:10" ht="15.75">
      <c r="A109" s="304" t="s">
        <v>255</v>
      </c>
      <c r="B109" s="313" t="s">
        <v>294</v>
      </c>
      <c r="C109" s="314"/>
      <c r="D109" s="314"/>
      <c r="E109" s="314"/>
      <c r="F109" s="314"/>
      <c r="G109" s="315"/>
      <c r="H109" s="330">
        <v>4</v>
      </c>
      <c r="I109" s="307" t="s">
        <v>295</v>
      </c>
      <c r="J109" s="308"/>
    </row>
    <row r="110" spans="1:10" ht="15.75">
      <c r="A110" s="304"/>
      <c r="B110" s="313" t="s">
        <v>296</v>
      </c>
      <c r="C110" s="314"/>
      <c r="D110" s="314"/>
      <c r="E110" s="314"/>
      <c r="F110" s="314"/>
      <c r="G110" s="315"/>
      <c r="H110" s="306">
        <v>10</v>
      </c>
      <c r="I110" s="307" t="s">
        <v>297</v>
      </c>
      <c r="J110" s="308"/>
    </row>
    <row r="111" spans="1:10" ht="15.75">
      <c r="A111" s="304"/>
      <c r="B111" s="313" t="s">
        <v>298</v>
      </c>
      <c r="C111" s="314"/>
      <c r="D111" s="314"/>
      <c r="E111" s="314"/>
      <c r="F111" s="314"/>
      <c r="G111" s="315"/>
      <c r="H111" s="306"/>
      <c r="I111" s="307" t="s">
        <v>299</v>
      </c>
      <c r="J111" s="308"/>
    </row>
    <row r="112" spans="1:10" ht="16.5" thickBot="1">
      <c r="A112" s="304"/>
      <c r="B112" s="297" t="s">
        <v>300</v>
      </c>
      <c r="C112" s="298"/>
      <c r="D112" s="298"/>
      <c r="E112" s="298"/>
      <c r="F112" s="298"/>
      <c r="G112" s="299"/>
      <c r="H112" s="306"/>
      <c r="I112" s="307"/>
      <c r="J112" s="308"/>
    </row>
    <row r="113" spans="1:10" ht="15.75">
      <c r="A113" s="304"/>
      <c r="B113" s="305"/>
      <c r="C113" s="305"/>
      <c r="D113" s="305"/>
      <c r="E113" s="305"/>
      <c r="F113" s="305"/>
      <c r="G113" s="305"/>
      <c r="H113" s="306"/>
      <c r="I113" s="307"/>
      <c r="J113" s="308"/>
    </row>
    <row r="114" spans="1:10" ht="15.75">
      <c r="A114" s="304" t="s">
        <v>301</v>
      </c>
      <c r="B114" s="309" t="s">
        <v>302</v>
      </c>
      <c r="C114" s="305"/>
      <c r="D114" s="305"/>
      <c r="E114" s="305"/>
      <c r="F114" s="305"/>
      <c r="G114" s="305"/>
      <c r="H114" s="306"/>
      <c r="I114" s="307"/>
      <c r="J114" s="308"/>
    </row>
    <row r="115" spans="1:10" ht="16.5" thickBot="1">
      <c r="A115" s="304"/>
      <c r="B115" s="309" t="s">
        <v>303</v>
      </c>
      <c r="C115" s="305"/>
      <c r="D115" s="305"/>
      <c r="E115" s="305"/>
      <c r="F115" s="305"/>
      <c r="G115" s="305"/>
      <c r="H115" s="306"/>
      <c r="I115" s="307"/>
      <c r="J115" s="308"/>
    </row>
    <row r="116" spans="1:10">
      <c r="A116" s="305"/>
      <c r="B116" s="310" t="s">
        <v>304</v>
      </c>
      <c r="C116" s="311"/>
      <c r="D116" s="311"/>
      <c r="E116" s="311"/>
      <c r="F116" s="311"/>
      <c r="G116" s="312"/>
      <c r="H116" s="306">
        <v>4</v>
      </c>
      <c r="I116" s="307" t="s">
        <v>305</v>
      </c>
      <c r="J116" s="308"/>
    </row>
    <row r="117" spans="1:10">
      <c r="A117" s="305"/>
      <c r="B117" s="313" t="s">
        <v>306</v>
      </c>
      <c r="C117" s="314"/>
      <c r="D117" s="314"/>
      <c r="E117" s="314"/>
      <c r="F117" s="314"/>
      <c r="G117" s="315"/>
      <c r="H117" s="306"/>
      <c r="I117" s="307" t="s">
        <v>307</v>
      </c>
      <c r="J117" s="308"/>
    </row>
    <row r="118" spans="1:10">
      <c r="A118" s="305"/>
      <c r="B118" s="313" t="s">
        <v>308</v>
      </c>
      <c r="C118" s="314"/>
      <c r="D118" s="314"/>
      <c r="E118" s="314"/>
      <c r="F118" s="314"/>
      <c r="G118" s="315"/>
      <c r="H118" s="306"/>
      <c r="I118" s="307" t="s">
        <v>309</v>
      </c>
      <c r="J118" s="308"/>
    </row>
    <row r="119" spans="1:10">
      <c r="A119" s="305"/>
      <c r="B119" s="313" t="s">
        <v>310</v>
      </c>
      <c r="C119" s="314"/>
      <c r="D119" s="314"/>
      <c r="E119" s="314"/>
      <c r="F119" s="314"/>
      <c r="G119" s="315"/>
      <c r="H119" s="306"/>
      <c r="I119" s="307"/>
      <c r="J119" s="308"/>
    </row>
    <row r="120" spans="1:10">
      <c r="A120" s="305"/>
      <c r="B120" s="313" t="s">
        <v>311</v>
      </c>
      <c r="C120" s="314"/>
      <c r="D120" s="314"/>
      <c r="E120" s="314"/>
      <c r="F120" s="314"/>
      <c r="G120" s="315"/>
      <c r="H120" s="306">
        <v>3</v>
      </c>
      <c r="I120" s="307" t="s">
        <v>312</v>
      </c>
      <c r="J120" s="308"/>
    </row>
    <row r="121" spans="1:10">
      <c r="A121" s="305"/>
      <c r="B121" s="313" t="s">
        <v>313</v>
      </c>
      <c r="C121" s="314"/>
      <c r="D121" s="314"/>
      <c r="E121" s="314"/>
      <c r="F121" s="314"/>
      <c r="G121" s="315"/>
      <c r="H121" s="306"/>
      <c r="I121" s="307" t="s">
        <v>297</v>
      </c>
      <c r="J121" s="308"/>
    </row>
    <row r="122" spans="1:10">
      <c r="A122" s="305"/>
      <c r="B122" s="313"/>
      <c r="C122" s="314"/>
      <c r="D122" s="314"/>
      <c r="E122" s="314"/>
      <c r="F122" s="314"/>
      <c r="G122" s="315"/>
      <c r="H122" s="306"/>
      <c r="I122" s="307"/>
      <c r="J122" s="308"/>
    </row>
    <row r="123" spans="1:10">
      <c r="A123" s="305"/>
      <c r="B123" s="313" t="s">
        <v>314</v>
      </c>
      <c r="C123" s="314"/>
      <c r="D123" s="314"/>
      <c r="E123" s="314"/>
      <c r="F123" s="314"/>
      <c r="G123" s="315"/>
      <c r="H123" s="306" t="s">
        <v>68</v>
      </c>
      <c r="I123" s="307" t="s">
        <v>315</v>
      </c>
      <c r="J123" s="308"/>
    </row>
    <row r="124" spans="1:10">
      <c r="A124" s="305"/>
      <c r="B124" s="313"/>
      <c r="C124" s="314"/>
      <c r="D124" s="314"/>
      <c r="E124" s="314"/>
      <c r="F124" s="314"/>
      <c r="G124" s="315"/>
      <c r="H124" s="306"/>
      <c r="I124" s="307" t="s">
        <v>316</v>
      </c>
      <c r="J124" s="308"/>
    </row>
    <row r="125" spans="1:10">
      <c r="A125" s="305"/>
      <c r="B125" s="313" t="s">
        <v>317</v>
      </c>
      <c r="C125" s="314"/>
      <c r="D125" s="314"/>
      <c r="E125" s="314"/>
      <c r="F125" s="314"/>
      <c r="G125" s="315"/>
      <c r="H125" s="306"/>
      <c r="I125" s="307" t="s">
        <v>318</v>
      </c>
      <c r="J125" s="308"/>
    </row>
    <row r="126" spans="1:10">
      <c r="A126" s="305"/>
      <c r="B126" s="313" t="s">
        <v>319</v>
      </c>
      <c r="C126" s="314"/>
      <c r="D126" s="314"/>
      <c r="E126" s="314"/>
      <c r="F126" s="314"/>
      <c r="G126" s="315"/>
      <c r="H126" s="330">
        <v>3</v>
      </c>
      <c r="I126" s="307" t="s">
        <v>320</v>
      </c>
      <c r="J126" s="308"/>
    </row>
    <row r="127" spans="1:10">
      <c r="A127" s="305"/>
      <c r="B127" s="313" t="s">
        <v>321</v>
      </c>
      <c r="C127" s="314"/>
      <c r="D127" s="314"/>
      <c r="E127" s="314"/>
      <c r="F127" s="314"/>
      <c r="G127" s="315"/>
      <c r="H127" s="306">
        <v>10</v>
      </c>
      <c r="I127" s="307"/>
      <c r="J127" s="308"/>
    </row>
    <row r="128" spans="1:10">
      <c r="A128" s="305"/>
      <c r="B128" s="313"/>
      <c r="C128" s="314"/>
      <c r="D128" s="314"/>
      <c r="E128" s="314"/>
      <c r="F128" s="314"/>
      <c r="G128" s="315"/>
      <c r="H128" s="306"/>
      <c r="I128" s="307"/>
      <c r="J128" s="308"/>
    </row>
    <row r="129" spans="1:10" ht="15.75" thickBot="1">
      <c r="A129" s="305"/>
      <c r="B129" s="297" t="s">
        <v>322</v>
      </c>
      <c r="C129" s="298"/>
      <c r="D129" s="298"/>
      <c r="E129" s="298"/>
      <c r="F129" s="298"/>
      <c r="G129" s="299"/>
      <c r="H129" s="306"/>
      <c r="I129" s="307"/>
      <c r="J129" s="308"/>
    </row>
    <row r="130" spans="1:10">
      <c r="A130" s="305"/>
      <c r="B130" s="305"/>
      <c r="C130" s="305"/>
      <c r="D130" s="305"/>
      <c r="E130" s="305"/>
      <c r="F130" s="305"/>
      <c r="G130" s="305"/>
      <c r="H130" s="306"/>
      <c r="I130" s="307"/>
      <c r="J130" s="308"/>
    </row>
    <row r="131" spans="1:10" ht="16.5" thickBot="1">
      <c r="A131" s="304" t="s">
        <v>323</v>
      </c>
      <c r="B131" s="309" t="s">
        <v>324</v>
      </c>
      <c r="C131" s="305"/>
      <c r="D131" s="305"/>
      <c r="E131" s="305"/>
      <c r="F131" s="305"/>
      <c r="G131" s="305"/>
      <c r="H131" s="306"/>
      <c r="I131" s="307"/>
      <c r="J131" s="308"/>
    </row>
    <row r="132" spans="1:10">
      <c r="A132" s="305"/>
      <c r="B132" s="310" t="s">
        <v>325</v>
      </c>
      <c r="C132" s="311"/>
      <c r="D132" s="311"/>
      <c r="E132" s="311"/>
      <c r="F132" s="311"/>
      <c r="G132" s="312"/>
      <c r="H132" s="306"/>
      <c r="I132" s="307"/>
      <c r="J132" s="308"/>
    </row>
    <row r="133" spans="1:10">
      <c r="A133" s="305"/>
      <c r="B133" s="313" t="s">
        <v>326</v>
      </c>
      <c r="C133" s="314"/>
      <c r="D133" s="314"/>
      <c r="E133" s="314"/>
      <c r="F133" s="314"/>
      <c r="G133" s="315"/>
      <c r="H133" s="306"/>
      <c r="I133" s="307" t="s">
        <v>327</v>
      </c>
      <c r="J133" s="308"/>
    </row>
    <row r="134" spans="1:10">
      <c r="A134" s="305"/>
      <c r="B134" s="313"/>
      <c r="C134" s="314"/>
      <c r="D134" s="314"/>
      <c r="E134" s="314"/>
      <c r="F134" s="314"/>
      <c r="G134" s="315"/>
      <c r="H134" s="306"/>
      <c r="I134" s="307" t="s">
        <v>328</v>
      </c>
      <c r="J134" s="308"/>
    </row>
    <row r="135" spans="1:10">
      <c r="A135" s="305"/>
      <c r="B135" s="331" t="s">
        <v>329</v>
      </c>
      <c r="C135" s="314"/>
      <c r="D135" s="314"/>
      <c r="E135" s="314"/>
      <c r="F135" s="314"/>
      <c r="G135" s="315"/>
      <c r="H135" s="306"/>
      <c r="I135" s="307" t="s">
        <v>330</v>
      </c>
      <c r="J135" s="308"/>
    </row>
    <row r="136" spans="1:10">
      <c r="A136" s="305"/>
      <c r="B136" s="332" t="s">
        <v>331</v>
      </c>
      <c r="C136" s="314"/>
      <c r="D136" s="314"/>
      <c r="E136" s="314"/>
      <c r="F136" s="314"/>
      <c r="G136" s="315"/>
      <c r="H136" s="306"/>
      <c r="I136" s="307" t="s">
        <v>332</v>
      </c>
      <c r="J136" s="308"/>
    </row>
    <row r="137" spans="1:10">
      <c r="A137" s="305"/>
      <c r="B137" s="313" t="s">
        <v>333</v>
      </c>
      <c r="C137" s="314"/>
      <c r="D137" s="314"/>
      <c r="E137" s="314"/>
      <c r="F137" s="314"/>
      <c r="G137" s="315"/>
      <c r="H137" s="306"/>
      <c r="I137" s="307" t="s">
        <v>334</v>
      </c>
      <c r="J137" s="308"/>
    </row>
    <row r="138" spans="1:10">
      <c r="A138" s="305"/>
      <c r="B138" s="313" t="s">
        <v>335</v>
      </c>
      <c r="C138" s="314"/>
      <c r="D138" s="314"/>
      <c r="E138" s="314"/>
      <c r="F138" s="314"/>
      <c r="G138" s="315"/>
      <c r="H138" s="330">
        <v>10</v>
      </c>
      <c r="I138" s="307" t="s">
        <v>297</v>
      </c>
      <c r="J138" s="308"/>
    </row>
    <row r="139" spans="1:10">
      <c r="A139" s="305"/>
      <c r="B139" s="313"/>
      <c r="C139" s="314"/>
      <c r="D139" s="314"/>
      <c r="E139" s="314"/>
      <c r="F139" s="314"/>
      <c r="G139" s="315"/>
      <c r="H139" s="306">
        <v>10</v>
      </c>
      <c r="I139" s="307"/>
      <c r="J139" s="308"/>
    </row>
    <row r="140" spans="1:10">
      <c r="A140" s="305"/>
      <c r="B140" s="313"/>
      <c r="C140" s="314"/>
      <c r="D140" s="314"/>
      <c r="E140" s="314"/>
      <c r="F140" s="314"/>
      <c r="G140" s="315"/>
      <c r="H140" s="306"/>
      <c r="I140" s="307"/>
      <c r="J140" s="308"/>
    </row>
    <row r="141" spans="1:10">
      <c r="A141" s="305"/>
      <c r="B141" s="313"/>
      <c r="C141" s="314"/>
      <c r="D141" s="314"/>
      <c r="E141" s="314"/>
      <c r="F141" s="314"/>
      <c r="G141" s="315"/>
      <c r="H141" s="306"/>
      <c r="I141" s="307"/>
      <c r="J141" s="308"/>
    </row>
    <row r="142" spans="1:10">
      <c r="A142" s="305"/>
      <c r="B142" s="313"/>
      <c r="C142" s="314"/>
      <c r="D142" s="314"/>
      <c r="E142" s="314"/>
      <c r="F142" s="314"/>
      <c r="G142" s="315"/>
      <c r="H142" s="333">
        <v>40</v>
      </c>
      <c r="I142" s="334" t="s">
        <v>336</v>
      </c>
      <c r="J142" s="335"/>
    </row>
    <row r="143" spans="1:10">
      <c r="A143" s="305"/>
      <c r="B143" s="313"/>
      <c r="C143" s="314"/>
      <c r="D143" s="314"/>
      <c r="E143" s="314"/>
      <c r="F143" s="314"/>
      <c r="G143" s="315"/>
      <c r="H143" s="305"/>
      <c r="I143" s="305"/>
    </row>
    <row r="144" spans="1:10">
      <c r="A144" s="305"/>
      <c r="B144" s="313"/>
      <c r="C144" s="314"/>
      <c r="D144" s="314"/>
      <c r="E144" s="314"/>
      <c r="F144" s="314"/>
      <c r="G144" s="315"/>
      <c r="H144" s="305"/>
      <c r="I144" s="305"/>
    </row>
    <row r="145" spans="1:9" ht="15.75" thickBot="1">
      <c r="A145" s="305"/>
      <c r="B145" s="297"/>
      <c r="C145" s="298"/>
      <c r="D145" s="298"/>
      <c r="E145" s="298"/>
      <c r="F145" s="298"/>
      <c r="G145" s="299"/>
      <c r="H145" s="305"/>
      <c r="I145" s="305"/>
    </row>
    <row r="146" spans="1:9">
      <c r="A146" s="305"/>
      <c r="B146" s="305"/>
      <c r="C146" s="305"/>
      <c r="D146" s="305"/>
      <c r="E146" s="305"/>
      <c r="F146" s="305"/>
      <c r="G146" s="305"/>
      <c r="H146" s="305"/>
      <c r="I146" s="305"/>
    </row>
    <row r="147" spans="1:9">
      <c r="A147" s="305"/>
      <c r="B147" s="305"/>
      <c r="C147" s="305"/>
      <c r="D147" s="305"/>
      <c r="E147" s="305"/>
      <c r="F147" s="305"/>
      <c r="G147" s="305"/>
      <c r="H147" s="305"/>
      <c r="I147" s="305"/>
    </row>
    <row r="148" spans="1:9">
      <c r="A148" s="305"/>
      <c r="B148" s="305"/>
      <c r="C148" s="305"/>
      <c r="D148" s="305"/>
      <c r="E148" s="305"/>
      <c r="F148" s="305"/>
      <c r="G148" s="305"/>
      <c r="H148" s="305"/>
      <c r="I148" s="305"/>
    </row>
    <row r="149" spans="1:9">
      <c r="A149" s="305"/>
      <c r="B149" s="305"/>
      <c r="C149" s="305"/>
      <c r="D149" s="305"/>
      <c r="E149" s="305"/>
      <c r="F149" s="305"/>
      <c r="G149" s="305"/>
      <c r="H149" s="305"/>
      <c r="I149" s="30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88"/>
  <sheetViews>
    <sheetView tabSelected="1" topLeftCell="A4" workbookViewId="0">
      <selection activeCell="G21" sqref="G21"/>
    </sheetView>
  </sheetViews>
  <sheetFormatPr defaultColWidth="7.28515625" defaultRowHeight="12.75"/>
  <cols>
    <col min="1" max="1" width="30.7109375" style="1" customWidth="1"/>
    <col min="2" max="2" width="11.28515625" style="1" customWidth="1"/>
    <col min="3" max="4" width="11.140625" style="1" customWidth="1"/>
    <col min="5" max="5" width="12.28515625" style="1" customWidth="1"/>
    <col min="6" max="6" width="28.140625" style="1" customWidth="1"/>
    <col min="7" max="7" width="9.7109375" style="1" customWidth="1"/>
    <col min="8" max="8" width="26.42578125" style="1" customWidth="1"/>
    <col min="9" max="12" width="7.28515625" style="1"/>
    <col min="13" max="13" width="7.85546875" style="1" customWidth="1"/>
    <col min="14" max="14" width="7.28515625" style="1"/>
    <col min="15" max="15" width="8.42578125" style="1" customWidth="1"/>
    <col min="16" max="16384" width="7.28515625" style="1"/>
  </cols>
  <sheetData>
    <row r="1" spans="1:16" ht="15.75">
      <c r="A1" s="5" t="s">
        <v>16</v>
      </c>
      <c r="B1" s="2"/>
      <c r="C1" s="5"/>
      <c r="D1" s="2"/>
      <c r="E1" s="2"/>
      <c r="G1" s="2"/>
      <c r="H1" s="153" t="s">
        <v>175</v>
      </c>
      <c r="I1" s="2"/>
      <c r="J1" s="2"/>
      <c r="K1" s="2"/>
      <c r="L1" s="2"/>
      <c r="M1" s="2"/>
      <c r="N1" s="2"/>
      <c r="O1" s="2"/>
      <c r="P1" s="2"/>
    </row>
    <row r="2" spans="1:16" ht="15.75">
      <c r="A2" s="5" t="s">
        <v>15</v>
      </c>
      <c r="B2" s="2"/>
      <c r="C2" s="2"/>
      <c r="D2" s="2"/>
      <c r="E2" s="2"/>
      <c r="F2" s="3"/>
      <c r="G2" s="2"/>
      <c r="H2" s="37"/>
      <c r="I2" s="2"/>
      <c r="J2" s="2"/>
      <c r="K2" s="2"/>
      <c r="L2" s="2"/>
      <c r="M2" s="2"/>
      <c r="N2" s="2"/>
      <c r="O2" s="2"/>
      <c r="P2" s="2"/>
    </row>
    <row r="3" spans="1:16" ht="15">
      <c r="A3" s="2" t="s">
        <v>14</v>
      </c>
      <c r="B3" s="350">
        <v>15000000</v>
      </c>
      <c r="C3" s="352" t="s">
        <v>357</v>
      </c>
      <c r="D3" s="2"/>
      <c r="E3" s="2"/>
      <c r="F3" s="42" t="s">
        <v>68</v>
      </c>
      <c r="G3" s="2"/>
      <c r="H3" s="40"/>
      <c r="I3" s="2"/>
      <c r="J3" s="2"/>
      <c r="K3" s="2"/>
      <c r="L3" s="2"/>
      <c r="M3" s="2"/>
      <c r="N3" s="2"/>
      <c r="O3" s="2"/>
      <c r="P3" s="2"/>
    </row>
    <row r="4" spans="1:16" ht="15">
      <c r="A4" s="2" t="s">
        <v>13</v>
      </c>
      <c r="B4" s="350">
        <v>100000</v>
      </c>
      <c r="C4" s="352" t="s">
        <v>355</v>
      </c>
      <c r="D4" s="2"/>
      <c r="E4" s="42"/>
      <c r="F4" s="2"/>
      <c r="G4" s="2"/>
      <c r="H4" s="40"/>
      <c r="I4" s="2"/>
      <c r="J4" s="2"/>
      <c r="K4" s="2"/>
      <c r="L4" s="2"/>
      <c r="M4" s="2"/>
      <c r="N4" s="2"/>
      <c r="O4" s="2"/>
      <c r="P4" s="2"/>
    </row>
    <row r="5" spans="1:16" ht="15.75">
      <c r="A5" s="2" t="s">
        <v>12</v>
      </c>
      <c r="B5" s="41">
        <v>0</v>
      </c>
      <c r="C5" s="3" t="s">
        <v>338</v>
      </c>
      <c r="D5" s="2"/>
      <c r="E5" s="2"/>
      <c r="F5" s="353" t="s">
        <v>360</v>
      </c>
      <c r="G5" s="2"/>
      <c r="H5" s="40"/>
      <c r="I5" s="2"/>
      <c r="J5" s="2"/>
      <c r="K5" s="2"/>
      <c r="L5" s="2"/>
      <c r="M5" s="2"/>
      <c r="N5" s="2"/>
      <c r="O5" s="2"/>
      <c r="P5" s="2"/>
    </row>
    <row r="6" spans="1:16" ht="15.75">
      <c r="A6" s="2" t="s">
        <v>11</v>
      </c>
      <c r="B6" s="39">
        <v>0</v>
      </c>
      <c r="C6" s="3" t="s">
        <v>337</v>
      </c>
      <c r="D6" s="2"/>
      <c r="E6" s="2"/>
      <c r="F6" s="2"/>
      <c r="G6" s="2"/>
      <c r="H6" s="40"/>
      <c r="I6" s="2"/>
      <c r="J6" s="2"/>
      <c r="K6" s="2"/>
      <c r="L6" s="2"/>
      <c r="M6" s="2"/>
      <c r="N6" s="2"/>
      <c r="O6" s="2"/>
      <c r="P6" s="2"/>
    </row>
    <row r="7" spans="1:16" ht="15.75">
      <c r="A7" s="2" t="s">
        <v>10</v>
      </c>
      <c r="B7" s="39">
        <v>0</v>
      </c>
      <c r="C7" s="3" t="s">
        <v>338</v>
      </c>
      <c r="D7" s="2"/>
      <c r="E7" s="2"/>
      <c r="F7" s="2"/>
      <c r="G7" s="2"/>
      <c r="H7" s="40"/>
      <c r="I7" s="2"/>
      <c r="J7" s="2"/>
      <c r="K7" s="2"/>
      <c r="L7" s="2"/>
      <c r="M7" s="2"/>
      <c r="N7" s="2"/>
      <c r="O7" s="2"/>
      <c r="P7" s="2"/>
    </row>
    <row r="8" spans="1:16" ht="15.75">
      <c r="A8" s="2" t="s">
        <v>9</v>
      </c>
      <c r="B8" s="41">
        <v>0</v>
      </c>
      <c r="C8" s="3" t="s">
        <v>8</v>
      </c>
      <c r="D8" s="2"/>
      <c r="E8" s="2"/>
      <c r="F8" s="2"/>
      <c r="G8" s="2"/>
      <c r="H8" s="40"/>
      <c r="I8" s="2"/>
      <c r="J8" s="2"/>
      <c r="K8" s="2"/>
      <c r="L8" s="2"/>
      <c r="M8" s="2"/>
      <c r="N8" s="2"/>
      <c r="O8" s="2"/>
      <c r="P8" s="2"/>
    </row>
    <row r="9" spans="1:16" ht="15.75">
      <c r="A9" s="2" t="s">
        <v>7</v>
      </c>
      <c r="B9" s="41">
        <v>0</v>
      </c>
      <c r="C9" s="3" t="s">
        <v>6</v>
      </c>
      <c r="D9" s="2"/>
      <c r="E9" s="2"/>
      <c r="F9" s="2"/>
      <c r="G9" s="2"/>
      <c r="H9" s="40"/>
      <c r="I9" s="2"/>
      <c r="J9" s="2"/>
      <c r="K9" s="2"/>
      <c r="L9" s="2"/>
      <c r="M9" s="2"/>
      <c r="N9" s="2"/>
      <c r="O9" s="2"/>
      <c r="P9" s="2"/>
    </row>
    <row r="10" spans="1:16" ht="15.75">
      <c r="A10" s="2" t="s">
        <v>5</v>
      </c>
      <c r="B10" s="39">
        <v>0</v>
      </c>
      <c r="C10" s="3" t="s">
        <v>338</v>
      </c>
      <c r="D10" s="2"/>
      <c r="E10" s="2"/>
      <c r="F10" s="2"/>
      <c r="G10" s="2"/>
      <c r="H10" s="40"/>
      <c r="I10" s="2"/>
      <c r="J10" s="2"/>
      <c r="K10" s="2"/>
      <c r="L10" s="2"/>
      <c r="M10" s="2"/>
      <c r="N10" s="2"/>
      <c r="O10" s="2"/>
      <c r="P10" s="2"/>
    </row>
    <row r="11" spans="1:16" ht="15">
      <c r="A11" s="2" t="s">
        <v>118</v>
      </c>
      <c r="B11" s="351">
        <v>20</v>
      </c>
      <c r="C11" s="352" t="s">
        <v>358</v>
      </c>
      <c r="D11" s="2"/>
      <c r="E11" s="2"/>
      <c r="F11" s="2"/>
      <c r="G11" s="2"/>
      <c r="H11" s="40"/>
      <c r="I11" s="2"/>
      <c r="J11" s="2"/>
      <c r="K11" s="2"/>
      <c r="L11" s="2"/>
      <c r="M11" s="2"/>
      <c r="N11" s="2"/>
      <c r="O11" s="2"/>
      <c r="P11" s="2"/>
    </row>
    <row r="12" spans="1:16" ht="15">
      <c r="A12" s="2" t="s">
        <v>117</v>
      </c>
      <c r="B12" s="350">
        <v>1000000</v>
      </c>
      <c r="C12" s="352" t="s">
        <v>359</v>
      </c>
      <c r="D12" s="352"/>
      <c r="E12" s="2"/>
      <c r="F12" s="2"/>
      <c r="G12" s="2"/>
      <c r="H12" s="40"/>
      <c r="I12" s="2"/>
      <c r="J12" s="2"/>
      <c r="K12" s="2"/>
      <c r="L12" s="2"/>
      <c r="M12" s="2"/>
      <c r="N12" s="2"/>
      <c r="O12" s="2"/>
      <c r="P12" s="2"/>
    </row>
    <row r="13" spans="1:16" ht="15">
      <c r="A13" s="2"/>
      <c r="B13" s="2"/>
      <c r="C13" s="39"/>
      <c r="D13" s="2"/>
      <c r="E13" s="2"/>
      <c r="F13" s="38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5" t="s">
        <v>116</v>
      </c>
      <c r="B14" s="26" t="s">
        <v>115</v>
      </c>
      <c r="C14" s="26"/>
      <c r="D14" s="26" t="s">
        <v>114</v>
      </c>
      <c r="E14" s="2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37" t="s">
        <v>113</v>
      </c>
      <c r="C15" s="37" t="s">
        <v>112</v>
      </c>
      <c r="D15" s="37" t="s">
        <v>113</v>
      </c>
      <c r="E15" s="37" t="s">
        <v>112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 t="s">
        <v>85</v>
      </c>
      <c r="B16" s="36">
        <f>B8</f>
        <v>0</v>
      </c>
      <c r="C16" s="36">
        <f>B9</f>
        <v>0</v>
      </c>
      <c r="D16" s="36">
        <f>+B16</f>
        <v>0</v>
      </c>
      <c r="E16" s="36">
        <f>+C16</f>
        <v>0</v>
      </c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 t="s">
        <v>111</v>
      </c>
      <c r="B17" s="35">
        <f>-B5*B6</f>
        <v>0</v>
      </c>
      <c r="C17" s="35">
        <f>B17</f>
        <v>0</v>
      </c>
      <c r="D17" s="35">
        <f>B17</f>
        <v>0</v>
      </c>
      <c r="E17" s="35">
        <f>B17</f>
        <v>0</v>
      </c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 t="s">
        <v>110</v>
      </c>
      <c r="B18" s="33">
        <f>-B3*B7</f>
        <v>0</v>
      </c>
      <c r="C18" s="33">
        <f>B18</f>
        <v>0</v>
      </c>
      <c r="D18" s="33">
        <v>0</v>
      </c>
      <c r="E18" s="33">
        <v>0</v>
      </c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 t="s">
        <v>109</v>
      </c>
      <c r="B19" s="34">
        <f>SUM(B16:B18)</f>
        <v>0</v>
      </c>
      <c r="C19" s="34">
        <f>SUM(C16:C18)</f>
        <v>0</v>
      </c>
      <c r="D19" s="34">
        <f>SUM(D16:D18)</f>
        <v>0</v>
      </c>
      <c r="E19" s="34">
        <f>SUM(E16:E18)</f>
        <v>0</v>
      </c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 t="s">
        <v>93</v>
      </c>
      <c r="B20" s="33">
        <f>-B19*$B$10</f>
        <v>0</v>
      </c>
      <c r="C20" s="33">
        <f>-C19*$B$10</f>
        <v>0</v>
      </c>
      <c r="D20" s="33">
        <f>-D19*$B$10</f>
        <v>0</v>
      </c>
      <c r="E20" s="33">
        <f>-E19*$B$10</f>
        <v>0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2" t="s">
        <v>108</v>
      </c>
      <c r="B21" s="34">
        <f>SUM(B19:B20)</f>
        <v>0</v>
      </c>
      <c r="C21" s="34">
        <f>SUM(C19:C20)</f>
        <v>0</v>
      </c>
      <c r="D21" s="34">
        <f>SUM(D19:D20)</f>
        <v>0</v>
      </c>
      <c r="E21" s="34">
        <f>SUM(E19:E20)</f>
        <v>0</v>
      </c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2" t="s">
        <v>107</v>
      </c>
      <c r="B22" s="34">
        <f>+B4</f>
        <v>100000</v>
      </c>
      <c r="C22" s="34">
        <f>+B22</f>
        <v>100000</v>
      </c>
      <c r="D22" s="34">
        <f>+B22</f>
        <v>100000</v>
      </c>
      <c r="E22" s="34">
        <f>+B22</f>
        <v>100000</v>
      </c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5.75">
      <c r="A23" s="2" t="s">
        <v>106</v>
      </c>
      <c r="B23" s="33">
        <v>0</v>
      </c>
      <c r="C23" s="33">
        <v>0</v>
      </c>
      <c r="D23" s="33">
        <f>B3/B11</f>
        <v>750000</v>
      </c>
      <c r="E23" s="33">
        <f>+D23</f>
        <v>750000</v>
      </c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5.75">
      <c r="A24" s="2" t="s">
        <v>105</v>
      </c>
      <c r="B24" s="32">
        <f>B21/(B22+B23)</f>
        <v>0</v>
      </c>
      <c r="C24" s="32">
        <f>C21/(C22+C23)</f>
        <v>0</v>
      </c>
      <c r="D24" s="32">
        <f>D21/(D22+D23)</f>
        <v>0</v>
      </c>
      <c r="E24" s="32">
        <f>E21/(E22+E23)</f>
        <v>0</v>
      </c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>
      <c r="A25" s="2" t="s">
        <v>104</v>
      </c>
      <c r="B25" s="31" t="e">
        <f>-B16/(B17+B18)</f>
        <v>#DIV/0!</v>
      </c>
      <c r="C25" s="31" t="e">
        <f>-C16/(C17+C18)</f>
        <v>#DIV/0!</v>
      </c>
      <c r="D25" s="31" t="e">
        <f>-D16/(D17+D18)</f>
        <v>#DIV/0!</v>
      </c>
      <c r="E25" s="31" t="e">
        <f>-E16/(E17+E18)</f>
        <v>#DIV/0!</v>
      </c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5" t="s">
        <v>68</v>
      </c>
      <c r="D27" s="2"/>
      <c r="E27" s="3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">
      <c r="A28" s="2"/>
      <c r="B28" s="2"/>
      <c r="C28" s="2"/>
      <c r="D28" s="28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>
      <c r="A29" s="2"/>
      <c r="B29" s="2"/>
      <c r="C29" s="2"/>
      <c r="D29" s="28"/>
      <c r="E29" s="29"/>
      <c r="F29" s="29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8"/>
      <c r="E30" s="27"/>
      <c r="F30" s="27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>
      <c r="A42" s="26"/>
      <c r="B42" s="2"/>
      <c r="C42" s="2"/>
      <c r="D42" s="2"/>
      <c r="E42" s="2"/>
      <c r="F42" s="2"/>
      <c r="G4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>
      <c r="A43" s="2"/>
      <c r="B43" s="24" t="s">
        <v>85</v>
      </c>
      <c r="C43" s="25">
        <f>B9</f>
        <v>0</v>
      </c>
      <c r="D43" s="25">
        <f>B8</f>
        <v>0</v>
      </c>
      <c r="E43" s="2"/>
      <c r="F43" s="2" t="s">
        <v>68</v>
      </c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>
      <c r="A44" s="2"/>
      <c r="B44" s="24" t="s">
        <v>103</v>
      </c>
      <c r="C44" s="23">
        <f>C24</f>
        <v>0</v>
      </c>
      <c r="D44" s="23">
        <f>B24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>
      <c r="A45" s="2"/>
      <c r="B45" s="24" t="s">
        <v>102</v>
      </c>
      <c r="C45" s="23">
        <f>E24</f>
        <v>0</v>
      </c>
      <c r="D45" s="23">
        <f>D24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>
      <c r="A48" s="5" t="s">
        <v>101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>
      <c r="A49" s="2"/>
      <c r="B49" s="19" t="s">
        <v>100</v>
      </c>
      <c r="C49" s="19" t="s">
        <v>99</v>
      </c>
      <c r="D49" s="2"/>
      <c r="E49" s="2"/>
      <c r="F49" s="2"/>
      <c r="G49" s="2"/>
      <c r="H49"/>
      <c r="I49"/>
      <c r="J49"/>
      <c r="K49"/>
      <c r="L49"/>
      <c r="M49"/>
      <c r="N49"/>
      <c r="O49"/>
      <c r="P49" s="2"/>
    </row>
    <row r="50" spans="1:16" ht="15">
      <c r="A50" s="2" t="s">
        <v>98</v>
      </c>
      <c r="B50" s="13">
        <f>B22</f>
        <v>100000</v>
      </c>
      <c r="C50" s="13">
        <f>D22+D23</f>
        <v>850000</v>
      </c>
      <c r="D50" s="2"/>
      <c r="E50" s="2"/>
      <c r="F50" s="2"/>
      <c r="G50" s="2"/>
      <c r="H50"/>
      <c r="I50"/>
      <c r="J50"/>
      <c r="K50"/>
      <c r="L50"/>
      <c r="M50"/>
      <c r="N50"/>
      <c r="O50"/>
      <c r="P50" s="2"/>
    </row>
    <row r="51" spans="1:16" ht="15">
      <c r="A51" s="2" t="s">
        <v>97</v>
      </c>
      <c r="B51" s="18">
        <f>B10</f>
        <v>0</v>
      </c>
      <c r="C51" s="18">
        <f>B51</f>
        <v>0</v>
      </c>
      <c r="D51" s="2"/>
      <c r="E51" s="2"/>
      <c r="F51" s="2"/>
      <c r="G51" s="2"/>
      <c r="H51"/>
      <c r="I51"/>
      <c r="J51"/>
      <c r="K51"/>
      <c r="L51"/>
      <c r="M51"/>
      <c r="N51"/>
      <c r="O51"/>
      <c r="P51" s="2"/>
    </row>
    <row r="52" spans="1:16" ht="15">
      <c r="A52" s="2" t="s">
        <v>95</v>
      </c>
      <c r="B52" s="13">
        <f>((B5*B6)+(B3*B7))</f>
        <v>0</v>
      </c>
      <c r="C52" s="13">
        <f>(B5*B6)</f>
        <v>0</v>
      </c>
      <c r="D52" s="2"/>
      <c r="E52" s="2"/>
      <c r="F52" s="2"/>
      <c r="G52" s="2"/>
      <c r="H52"/>
      <c r="I52"/>
      <c r="J52"/>
      <c r="K52"/>
      <c r="L52"/>
      <c r="M52"/>
      <c r="N52"/>
      <c r="O52"/>
      <c r="P52" s="2"/>
    </row>
    <row r="53" spans="1:16" ht="15">
      <c r="A53" s="2"/>
      <c r="B53" s="13"/>
      <c r="C53" s="13"/>
      <c r="D53" s="2"/>
      <c r="E53" s="2"/>
      <c r="F53" s="2"/>
      <c r="G53" s="2"/>
      <c r="H53"/>
      <c r="I53"/>
      <c r="J53"/>
      <c r="K53"/>
      <c r="L53"/>
      <c r="M53"/>
      <c r="N53"/>
      <c r="O53"/>
      <c r="P53" s="2"/>
    </row>
    <row r="54" spans="1:16" ht="15.75">
      <c r="A54" s="2" t="s">
        <v>85</v>
      </c>
      <c r="B54" s="13">
        <f>((((B52*(1-B51))*C50))-(((C52*(1-C51))*B50)))/((1-C51)*(C50-B50))</f>
        <v>0</v>
      </c>
      <c r="C54" s="13">
        <f>B54</f>
        <v>0</v>
      </c>
      <c r="D54" s="3" t="s">
        <v>96</v>
      </c>
      <c r="E54" s="2"/>
      <c r="F54" s="2"/>
      <c r="G54" s="2"/>
      <c r="H54"/>
      <c r="I54"/>
      <c r="J54"/>
      <c r="K54"/>
      <c r="L54"/>
      <c r="M54"/>
      <c r="N54"/>
      <c r="O54"/>
      <c r="P54" s="2"/>
    </row>
    <row r="55" spans="1:16" ht="15">
      <c r="A55" s="2" t="s">
        <v>95</v>
      </c>
      <c r="B55" s="22">
        <f>B52</f>
        <v>0</v>
      </c>
      <c r="C55" s="22">
        <f>C52</f>
        <v>0</v>
      </c>
      <c r="D55" s="2" t="s">
        <v>68</v>
      </c>
      <c r="E55" s="2"/>
      <c r="F55" s="2"/>
      <c r="G55" s="2"/>
      <c r="H55"/>
      <c r="I55"/>
      <c r="J55"/>
      <c r="K55"/>
      <c r="L55"/>
      <c r="M55"/>
      <c r="N55"/>
      <c r="O55"/>
      <c r="P55" s="2"/>
    </row>
    <row r="56" spans="1:16" ht="15">
      <c r="A56" s="2" t="s">
        <v>94</v>
      </c>
      <c r="B56" s="21">
        <f>B54-B55</f>
        <v>0</v>
      </c>
      <c r="C56" s="21">
        <f>C54-C55</f>
        <v>0</v>
      </c>
      <c r="D56" s="2" t="s">
        <v>68</v>
      </c>
      <c r="E56" s="2" t="s">
        <v>68</v>
      </c>
      <c r="F56" s="2"/>
      <c r="G56" s="2"/>
      <c r="H56"/>
      <c r="I56"/>
      <c r="J56"/>
      <c r="K56"/>
      <c r="L56"/>
      <c r="M56"/>
      <c r="N56"/>
      <c r="O56"/>
      <c r="P56" s="2"/>
    </row>
    <row r="57" spans="1:16" ht="15">
      <c r="A57" s="2" t="s">
        <v>93</v>
      </c>
      <c r="B57" s="21">
        <f>B56*B51</f>
        <v>0</v>
      </c>
      <c r="C57" s="21">
        <f>C56*C51</f>
        <v>0</v>
      </c>
      <c r="D57" s="2"/>
      <c r="E57" s="2" t="s">
        <v>68</v>
      </c>
      <c r="F57" s="2"/>
      <c r="G57" s="2"/>
      <c r="H57"/>
      <c r="I57"/>
      <c r="J57"/>
      <c r="K57"/>
      <c r="L57"/>
      <c r="M57"/>
      <c r="N57"/>
      <c r="O57"/>
      <c r="P57" s="2"/>
    </row>
    <row r="58" spans="1:16" ht="15">
      <c r="A58" s="2" t="s">
        <v>92</v>
      </c>
      <c r="B58" s="21">
        <f>B56-B57</f>
        <v>0</v>
      </c>
      <c r="C58" s="21">
        <f>C56-C57</f>
        <v>0</v>
      </c>
      <c r="D58" s="2"/>
      <c r="E58" s="2"/>
      <c r="F58" s="2"/>
      <c r="G58" s="2"/>
      <c r="H58"/>
      <c r="I58"/>
      <c r="J58"/>
      <c r="K58"/>
      <c r="L58"/>
      <c r="M58"/>
      <c r="N58"/>
      <c r="O58"/>
      <c r="P58" s="2"/>
    </row>
    <row r="59" spans="1:16" ht="15.75">
      <c r="A59" s="2" t="s">
        <v>91</v>
      </c>
      <c r="B59" s="20">
        <f>B58/B50</f>
        <v>0</v>
      </c>
      <c r="C59" s="20">
        <f>C58/C50</f>
        <v>0</v>
      </c>
      <c r="D59" s="3" t="s">
        <v>90</v>
      </c>
      <c r="E59" s="2"/>
      <c r="F59" s="2"/>
      <c r="G59" s="2"/>
      <c r="H59"/>
      <c r="I59"/>
      <c r="J59"/>
      <c r="K59"/>
      <c r="L59"/>
      <c r="M59"/>
      <c r="N59"/>
      <c r="O59"/>
      <c r="P59" s="2"/>
    </row>
    <row r="60" spans="1:16" ht="15">
      <c r="A60" s="2"/>
      <c r="B60" s="2"/>
      <c r="C60" s="2"/>
      <c r="D60" s="2"/>
      <c r="E60" s="2"/>
      <c r="F60" s="2"/>
      <c r="G60" s="2"/>
      <c r="H60"/>
      <c r="I60"/>
      <c r="J60"/>
      <c r="K60"/>
      <c r="L60"/>
      <c r="M60"/>
      <c r="N60"/>
      <c r="O60"/>
      <c r="P60" s="2"/>
    </row>
    <row r="61" spans="1:16" ht="15">
      <c r="A61" s="2"/>
      <c r="B61" s="2"/>
      <c r="C61" s="2"/>
      <c r="D61" s="2"/>
      <c r="E61" s="2"/>
      <c r="F61" s="2"/>
      <c r="G61" s="2"/>
      <c r="H61"/>
      <c r="I61"/>
      <c r="J61"/>
      <c r="K61"/>
      <c r="L61"/>
      <c r="M61"/>
      <c r="N61"/>
      <c r="O61"/>
      <c r="P61" s="2"/>
    </row>
    <row r="62" spans="1:16" ht="15.75">
      <c r="A62" s="5" t="s">
        <v>89</v>
      </c>
      <c r="B62" s="2"/>
      <c r="C62" s="2"/>
      <c r="D62" s="2"/>
      <c r="E62" s="2"/>
      <c r="F62" s="2"/>
      <c r="G62" s="2"/>
      <c r="H62"/>
      <c r="I62"/>
      <c r="J62"/>
      <c r="K62"/>
      <c r="L62"/>
      <c r="M62"/>
      <c r="N62"/>
      <c r="O62"/>
      <c r="P62" s="2"/>
    </row>
    <row r="63" spans="1:16" ht="15.75">
      <c r="A63" s="2" t="s">
        <v>68</v>
      </c>
      <c r="B63" s="19" t="s">
        <v>88</v>
      </c>
      <c r="C63" s="19" t="s">
        <v>87</v>
      </c>
      <c r="D63" s="19" t="s">
        <v>86</v>
      </c>
      <c r="E63" s="2"/>
      <c r="F63" s="2"/>
      <c r="G63" s="2"/>
      <c r="H63"/>
      <c r="I63"/>
      <c r="J63"/>
      <c r="K63"/>
      <c r="L63"/>
      <c r="M63"/>
      <c r="N63"/>
      <c r="O63"/>
      <c r="P63" s="2"/>
    </row>
    <row r="64" spans="1:16" ht="15">
      <c r="A64" s="2" t="s">
        <v>85</v>
      </c>
      <c r="B64" s="13">
        <f>B9</f>
        <v>0</v>
      </c>
      <c r="C64" s="13">
        <f>B8</f>
        <v>0</v>
      </c>
      <c r="D64" s="13">
        <f>C54</f>
        <v>0</v>
      </c>
      <c r="E64" s="2"/>
      <c r="F64" s="2"/>
      <c r="G64" s="2"/>
      <c r="H64"/>
      <c r="I64"/>
      <c r="J64"/>
      <c r="K64"/>
      <c r="L64"/>
      <c r="M64"/>
      <c r="N64"/>
      <c r="O64"/>
      <c r="P64" s="2"/>
    </row>
    <row r="65" spans="1:16" ht="15.75">
      <c r="A65" s="2" t="s">
        <v>84</v>
      </c>
      <c r="B65" s="354">
        <v>0</v>
      </c>
      <c r="C65" s="354">
        <v>0</v>
      </c>
      <c r="D65" s="354">
        <v>0</v>
      </c>
      <c r="E65" s="3" t="s">
        <v>68</v>
      </c>
      <c r="F65" s="2"/>
      <c r="G65" s="2"/>
      <c r="H65"/>
      <c r="I65"/>
      <c r="J65"/>
      <c r="K65"/>
      <c r="L65"/>
      <c r="M65"/>
      <c r="N65"/>
      <c r="O65"/>
      <c r="P65" s="2"/>
    </row>
    <row r="66" spans="1:16" ht="15.75">
      <c r="A66" s="5" t="s">
        <v>83</v>
      </c>
      <c r="B66" s="13" t="e">
        <f>B64/B65</f>
        <v>#DIV/0!</v>
      </c>
      <c r="C66" s="13" t="e">
        <f>C64/C65</f>
        <v>#DIV/0!</v>
      </c>
      <c r="D66" s="13" t="e">
        <f>D64/D65</f>
        <v>#DIV/0!</v>
      </c>
      <c r="E66" s="2"/>
      <c r="F66" s="336" t="s">
        <v>356</v>
      </c>
      <c r="G66" s="2"/>
      <c r="H66"/>
      <c r="I66"/>
      <c r="J66"/>
      <c r="K66"/>
      <c r="L66"/>
      <c r="M66"/>
      <c r="N66"/>
      <c r="O66"/>
      <c r="P66" s="2"/>
    </row>
    <row r="67" spans="1:16" ht="15.75">
      <c r="A67" s="2" t="s">
        <v>82</v>
      </c>
      <c r="B67" s="18">
        <f>B7</f>
        <v>0</v>
      </c>
      <c r="C67" s="18">
        <f>B7</f>
        <v>0</v>
      </c>
      <c r="D67" s="17">
        <f>C67</f>
        <v>0</v>
      </c>
      <c r="E67" s="2"/>
      <c r="F67" s="16" t="s">
        <v>81</v>
      </c>
      <c r="G67" s="15" t="s">
        <v>80</v>
      </c>
      <c r="H67" s="15" t="s">
        <v>79</v>
      </c>
      <c r="I67" s="15" t="s">
        <v>78</v>
      </c>
      <c r="J67" s="15" t="s">
        <v>77</v>
      </c>
      <c r="K67" s="15" t="s">
        <v>76</v>
      </c>
      <c r="L67" s="15" t="s">
        <v>75</v>
      </c>
      <c r="M67" s="14" t="s">
        <v>74</v>
      </c>
      <c r="P67" s="2"/>
    </row>
    <row r="68" spans="1:16" ht="15.75">
      <c r="A68" s="5" t="s">
        <v>73</v>
      </c>
      <c r="B68" s="13" t="e">
        <f>B66/B67</f>
        <v>#DIV/0!</v>
      </c>
      <c r="C68" s="13" t="e">
        <f>C66/C67</f>
        <v>#DIV/0!</v>
      </c>
      <c r="D68" s="13" t="e">
        <f>D66/D67</f>
        <v>#DIV/0!</v>
      </c>
      <c r="E68" s="2"/>
      <c r="F68" s="12" t="s">
        <v>72</v>
      </c>
      <c r="G68" s="11">
        <v>27.3</v>
      </c>
      <c r="H68" s="11">
        <v>18</v>
      </c>
      <c r="I68" s="11">
        <v>10.4</v>
      </c>
      <c r="J68" s="11">
        <v>5.9</v>
      </c>
      <c r="K68" s="11">
        <v>3.4</v>
      </c>
      <c r="L68" s="11">
        <v>1.5</v>
      </c>
      <c r="M68" s="10">
        <v>0.5</v>
      </c>
      <c r="P68" s="2"/>
    </row>
    <row r="69" spans="1:16" ht="15">
      <c r="A69" s="2" t="s">
        <v>71</v>
      </c>
      <c r="B69" s="9">
        <f>B5</f>
        <v>0</v>
      </c>
      <c r="C69" s="9">
        <f>B69</f>
        <v>0</v>
      </c>
      <c r="D69" s="9">
        <f>C69</f>
        <v>0</v>
      </c>
      <c r="E69" s="2"/>
      <c r="F69" s="8" t="s">
        <v>70</v>
      </c>
      <c r="G69" s="7">
        <v>0.126</v>
      </c>
      <c r="H69" s="7">
        <v>0.36099999999999999</v>
      </c>
      <c r="I69" s="7">
        <v>0.38400000000000001</v>
      </c>
      <c r="J69" s="7">
        <v>0.437</v>
      </c>
      <c r="K69" s="7">
        <v>0.51900000000000002</v>
      </c>
      <c r="L69" s="7">
        <v>0.749</v>
      </c>
      <c r="M69" s="6">
        <v>1.006</v>
      </c>
      <c r="P69" s="2"/>
    </row>
    <row r="70" spans="1:16" ht="15.75">
      <c r="A70" s="5" t="s">
        <v>69</v>
      </c>
      <c r="B70" s="4" t="e">
        <f>B68-B69</f>
        <v>#DIV/0!</v>
      </c>
      <c r="C70" s="4" t="e">
        <f>C68-C69</f>
        <v>#DIV/0!</v>
      </c>
      <c r="D70" s="4" t="e">
        <f>D68-D69</f>
        <v>#DIV/0!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>
      <c r="E71" s="2"/>
      <c r="F71" s="2"/>
      <c r="G71" s="2"/>
      <c r="H71" s="3" t="s">
        <v>68</v>
      </c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E73" s="2"/>
      <c r="F73"/>
      <c r="G73"/>
      <c r="H73"/>
      <c r="I73"/>
      <c r="J73"/>
      <c r="K73" s="2"/>
      <c r="L73" s="2"/>
      <c r="M73" s="2"/>
      <c r="N73" s="2"/>
      <c r="O73" s="2"/>
      <c r="P73" s="2"/>
    </row>
    <row r="74" spans="1:16" ht="15.75">
      <c r="A74" s="152" t="s">
        <v>30</v>
      </c>
      <c r="B74" s="2"/>
      <c r="C74" s="2"/>
      <c r="D74" s="2"/>
      <c r="E74" s="2"/>
      <c r="F74" s="43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.75">
      <c r="A75" s="152" t="s">
        <v>119</v>
      </c>
      <c r="B75" s="2"/>
      <c r="C75" s="44"/>
      <c r="D75" s="2"/>
      <c r="E75" s="2"/>
      <c r="F75" s="43"/>
      <c r="G75" s="2"/>
      <c r="H75" s="5"/>
      <c r="I75" s="2"/>
      <c r="J75" s="2"/>
      <c r="K75" s="2"/>
      <c r="L75" s="2"/>
      <c r="M75" s="2"/>
      <c r="N75" s="2"/>
      <c r="O75" s="2"/>
      <c r="P75" s="2"/>
    </row>
    <row r="76" spans="1:16" ht="15">
      <c r="A76" s="160"/>
      <c r="B76" s="161"/>
      <c r="C76" s="161"/>
      <c r="D76" s="161"/>
      <c r="E76" s="161"/>
      <c r="F76" s="161"/>
      <c r="G76" s="162"/>
      <c r="H76" s="2"/>
      <c r="I76" s="157"/>
      <c r="J76" s="2"/>
      <c r="K76" s="2"/>
      <c r="L76" s="2"/>
      <c r="M76" s="2"/>
      <c r="N76" s="2"/>
      <c r="O76" s="2"/>
      <c r="P76" s="2"/>
    </row>
    <row r="77" spans="1:16" ht="15">
      <c r="A77" s="163"/>
      <c r="B77" s="164"/>
      <c r="C77" s="164"/>
      <c r="D77" s="164"/>
      <c r="E77" s="164"/>
      <c r="F77" s="164"/>
      <c r="G77" s="165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163"/>
      <c r="B78" s="164"/>
      <c r="C78" s="164"/>
      <c r="D78" s="164"/>
      <c r="E78" s="164"/>
      <c r="F78" s="164"/>
      <c r="G78" s="165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163"/>
      <c r="B79" s="164"/>
      <c r="C79" s="164"/>
      <c r="D79" s="164"/>
      <c r="E79" s="164"/>
      <c r="F79" s="164"/>
      <c r="G79" s="165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163"/>
      <c r="B80" s="164"/>
      <c r="C80" s="164"/>
      <c r="D80" s="164"/>
      <c r="E80" s="164"/>
      <c r="F80" s="164"/>
      <c r="G80" s="165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163"/>
      <c r="B81" s="164"/>
      <c r="C81" s="164"/>
      <c r="D81" s="164"/>
      <c r="E81" s="164"/>
      <c r="F81" s="164"/>
      <c r="G81" s="165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163"/>
      <c r="B82" s="164"/>
      <c r="C82" s="164"/>
      <c r="D82" s="164"/>
      <c r="E82" s="164"/>
      <c r="F82" s="164"/>
      <c r="G82" s="165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163"/>
      <c r="B83" s="164"/>
      <c r="C83" s="164"/>
      <c r="D83" s="164"/>
      <c r="E83" s="164"/>
      <c r="F83" s="164"/>
      <c r="G83" s="165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163"/>
      <c r="B84" s="164"/>
      <c r="C84" s="164"/>
      <c r="D84" s="164"/>
      <c r="E84" s="164"/>
      <c r="F84" s="164"/>
      <c r="G84" s="165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163"/>
      <c r="B85" s="164"/>
      <c r="C85" s="164"/>
      <c r="D85" s="164"/>
      <c r="E85" s="164"/>
      <c r="F85" s="164"/>
      <c r="G85" s="165"/>
      <c r="H85" s="2"/>
      <c r="I85" s="2"/>
      <c r="J85" s="2"/>
      <c r="K85" s="158"/>
      <c r="L85" s="158"/>
    </row>
    <row r="86" spans="1:16" ht="15">
      <c r="A86" s="163"/>
      <c r="B86" s="164"/>
      <c r="C86" s="164"/>
      <c r="D86" s="164"/>
      <c r="E86" s="164"/>
      <c r="F86" s="164"/>
      <c r="G86" s="165"/>
      <c r="H86" s="2"/>
      <c r="I86" s="2"/>
      <c r="J86" s="2"/>
      <c r="K86" s="158"/>
      <c r="L86" s="158"/>
    </row>
    <row r="87" spans="1:16" ht="15">
      <c r="A87" s="163"/>
      <c r="B87" s="164"/>
      <c r="C87" s="164"/>
      <c r="D87" s="164"/>
      <c r="E87" s="164"/>
      <c r="F87" s="164"/>
      <c r="G87" s="165"/>
      <c r="H87" s="2"/>
      <c r="I87" s="2"/>
      <c r="J87" s="2"/>
      <c r="K87" s="158"/>
      <c r="L87" s="158"/>
    </row>
    <row r="88" spans="1:16" ht="15">
      <c r="A88" s="163"/>
      <c r="B88" s="164"/>
      <c r="C88" s="164"/>
      <c r="D88" s="164"/>
      <c r="E88" s="164"/>
      <c r="F88" s="164"/>
      <c r="G88" s="165"/>
      <c r="H88" s="2"/>
      <c r="I88" s="157"/>
      <c r="J88" s="2"/>
      <c r="K88" s="158"/>
      <c r="L88" s="158"/>
    </row>
    <row r="89" spans="1:16" ht="15">
      <c r="A89" s="163"/>
      <c r="B89" s="164"/>
      <c r="C89" s="164"/>
      <c r="D89" s="164"/>
      <c r="E89" s="164"/>
      <c r="F89" s="164"/>
      <c r="G89" s="165"/>
      <c r="H89" s="2"/>
      <c r="I89" s="2"/>
      <c r="J89" s="2"/>
      <c r="K89" s="158"/>
      <c r="L89" s="158"/>
    </row>
    <row r="90" spans="1:16" ht="15">
      <c r="A90" s="163"/>
      <c r="B90" s="164"/>
      <c r="C90" s="164"/>
      <c r="D90" s="164"/>
      <c r="E90" s="164"/>
      <c r="F90" s="164"/>
      <c r="G90" s="165"/>
      <c r="H90" s="2"/>
      <c r="I90" s="2"/>
      <c r="J90" s="2"/>
      <c r="K90" s="158"/>
      <c r="L90" s="158"/>
    </row>
    <row r="91" spans="1:16" ht="15">
      <c r="A91" s="163"/>
      <c r="B91" s="164"/>
      <c r="C91" s="164"/>
      <c r="D91" s="164"/>
      <c r="E91" s="164"/>
      <c r="F91" s="164"/>
      <c r="G91" s="165"/>
      <c r="H91" s="2"/>
      <c r="I91" s="2"/>
      <c r="J91" s="2"/>
      <c r="K91" s="158"/>
      <c r="L91" s="158"/>
    </row>
    <row r="92" spans="1:16" ht="15">
      <c r="A92" s="163"/>
      <c r="B92" s="164"/>
      <c r="C92" s="164"/>
      <c r="D92" s="164"/>
      <c r="E92" s="164"/>
      <c r="F92" s="164"/>
      <c r="G92" s="165"/>
      <c r="H92" s="2"/>
      <c r="I92" s="2"/>
      <c r="J92" s="2"/>
      <c r="K92" s="158"/>
      <c r="L92" s="158"/>
    </row>
    <row r="93" spans="1:16" ht="15">
      <c r="A93" s="163"/>
      <c r="B93" s="164"/>
      <c r="C93" s="164"/>
      <c r="D93" s="164"/>
      <c r="E93" s="164"/>
      <c r="F93" s="164"/>
      <c r="G93" s="165"/>
      <c r="H93" s="2"/>
      <c r="I93" s="2"/>
      <c r="J93" s="2"/>
      <c r="K93" s="158"/>
      <c r="L93" s="158"/>
    </row>
    <row r="94" spans="1:16" ht="15">
      <c r="A94" s="163"/>
      <c r="B94" s="164"/>
      <c r="C94" s="164"/>
      <c r="D94" s="164"/>
      <c r="E94" s="164"/>
      <c r="F94" s="164"/>
      <c r="G94" s="165"/>
      <c r="H94" s="2"/>
      <c r="I94" s="2"/>
      <c r="J94" s="2"/>
      <c r="K94" s="158"/>
      <c r="L94" s="158"/>
    </row>
    <row r="95" spans="1:16" ht="15">
      <c r="A95" s="163"/>
      <c r="B95" s="164"/>
      <c r="C95" s="164"/>
      <c r="D95" s="164"/>
      <c r="E95" s="164"/>
      <c r="F95" s="164"/>
      <c r="G95" s="165"/>
      <c r="H95" s="2"/>
      <c r="I95" s="2"/>
      <c r="J95" s="2"/>
      <c r="K95" s="158"/>
      <c r="L95" s="158"/>
    </row>
    <row r="96" spans="1:16" ht="15">
      <c r="A96" s="163"/>
      <c r="B96" s="164"/>
      <c r="C96" s="164"/>
      <c r="D96" s="164"/>
      <c r="E96" s="164"/>
      <c r="F96" s="164"/>
      <c r="G96" s="165"/>
      <c r="H96" s="2"/>
      <c r="I96" s="2" t="s">
        <v>68</v>
      </c>
      <c r="J96" s="2"/>
      <c r="K96" s="158"/>
      <c r="L96" s="158"/>
    </row>
    <row r="97" spans="1:12" ht="15">
      <c r="A97" s="8"/>
      <c r="B97" s="48"/>
      <c r="C97" s="48"/>
      <c r="D97" s="48"/>
      <c r="E97" s="48"/>
      <c r="F97" s="49"/>
      <c r="G97" s="50"/>
      <c r="H97" s="2"/>
      <c r="I97" s="2"/>
      <c r="J97" s="2"/>
      <c r="K97" s="158"/>
      <c r="L97" s="158"/>
    </row>
    <row r="98" spans="1:12" ht="15.75">
      <c r="A98" s="154" t="s">
        <v>339</v>
      </c>
      <c r="B98" s="2"/>
      <c r="C98" s="2"/>
      <c r="D98" s="2"/>
      <c r="E98" s="2"/>
      <c r="F98" s="43"/>
      <c r="H98" s="2"/>
      <c r="I98" s="2"/>
      <c r="J98" s="2"/>
      <c r="K98" s="158"/>
      <c r="L98" s="158"/>
    </row>
    <row r="99" spans="1:12" ht="15.75">
      <c r="A99" s="154" t="s">
        <v>120</v>
      </c>
      <c r="B99" s="2"/>
      <c r="C99" s="2"/>
      <c r="D99" s="2"/>
      <c r="E99" s="2"/>
      <c r="F99" s="43"/>
      <c r="H99" s="2"/>
      <c r="I99" s="2"/>
      <c r="J99" s="2"/>
      <c r="K99" s="158"/>
      <c r="L99" s="158"/>
    </row>
    <row r="100" spans="1:12" ht="15">
      <c r="A100" s="160"/>
      <c r="B100" s="161"/>
      <c r="C100" s="161"/>
      <c r="D100" s="161"/>
      <c r="E100" s="161"/>
      <c r="F100" s="161"/>
      <c r="G100" s="162"/>
      <c r="H100" s="2"/>
      <c r="I100" s="2"/>
      <c r="J100" s="2"/>
      <c r="K100" s="158"/>
      <c r="L100" s="158"/>
    </row>
    <row r="101" spans="1:12">
      <c r="A101" s="163"/>
      <c r="B101" s="164"/>
      <c r="C101" s="164"/>
      <c r="D101" s="164"/>
      <c r="E101" s="164"/>
      <c r="F101" s="164"/>
      <c r="G101" s="165"/>
      <c r="H101"/>
      <c r="I101"/>
      <c r="J101"/>
      <c r="K101" s="158"/>
      <c r="L101" s="158"/>
    </row>
    <row r="102" spans="1:12">
      <c r="A102" s="163"/>
      <c r="B102" s="164"/>
      <c r="C102" s="164"/>
      <c r="D102" s="164"/>
      <c r="E102" s="164"/>
      <c r="F102" s="164"/>
      <c r="G102" s="165"/>
      <c r="H102"/>
      <c r="I102"/>
      <c r="J102"/>
      <c r="K102" s="158"/>
      <c r="L102" s="158"/>
    </row>
    <row r="103" spans="1:12">
      <c r="A103" s="163"/>
      <c r="B103" s="164"/>
      <c r="C103" s="164"/>
      <c r="D103" s="164"/>
      <c r="E103" s="164"/>
      <c r="F103" s="164"/>
      <c r="G103" s="165"/>
      <c r="H103"/>
      <c r="I103"/>
      <c r="J103"/>
      <c r="K103" s="158"/>
      <c r="L103" s="158"/>
    </row>
    <row r="104" spans="1:12">
      <c r="A104" s="163"/>
      <c r="B104" s="164"/>
      <c r="C104" s="164"/>
      <c r="D104" s="164"/>
      <c r="E104" s="164"/>
      <c r="F104" s="164"/>
      <c r="G104" s="165"/>
      <c r="H104"/>
      <c r="I104"/>
      <c r="J104"/>
      <c r="K104" s="158"/>
      <c r="L104" s="158"/>
    </row>
    <row r="105" spans="1:12">
      <c r="A105" s="163"/>
      <c r="B105" s="164"/>
      <c r="C105" s="164"/>
      <c r="D105" s="164"/>
      <c r="E105" s="164"/>
      <c r="F105" s="164"/>
      <c r="G105" s="165"/>
      <c r="H105"/>
      <c r="I105"/>
      <c r="J105"/>
      <c r="K105" s="158"/>
      <c r="L105" s="158"/>
    </row>
    <row r="106" spans="1:12">
      <c r="A106" s="163"/>
      <c r="B106" s="164"/>
      <c r="C106" s="164"/>
      <c r="D106" s="164"/>
      <c r="E106" s="164"/>
      <c r="F106" s="164"/>
      <c r="G106" s="165"/>
      <c r="H106"/>
      <c r="I106"/>
      <c r="J106"/>
      <c r="K106" s="158"/>
      <c r="L106" s="158"/>
    </row>
    <row r="107" spans="1:12">
      <c r="A107" s="163"/>
      <c r="B107" s="164"/>
      <c r="C107" s="164"/>
      <c r="D107" s="164"/>
      <c r="E107" s="164"/>
      <c r="F107" s="164"/>
      <c r="G107" s="165"/>
      <c r="H107"/>
      <c r="I107"/>
      <c r="J107"/>
      <c r="K107" s="158"/>
      <c r="L107" s="158"/>
    </row>
    <row r="108" spans="1:12">
      <c r="A108" s="163"/>
      <c r="B108" s="164"/>
      <c r="C108" s="164"/>
      <c r="D108" s="164"/>
      <c r="E108" s="164"/>
      <c r="F108" s="164"/>
      <c r="G108" s="165"/>
      <c r="H108"/>
      <c r="I108"/>
      <c r="J108"/>
      <c r="K108" s="158"/>
      <c r="L108" s="158"/>
    </row>
    <row r="109" spans="1:12">
      <c r="A109" s="163"/>
      <c r="B109" s="164"/>
      <c r="C109" s="164"/>
      <c r="D109" s="164"/>
      <c r="E109" s="164"/>
      <c r="F109" s="164"/>
      <c r="G109" s="165"/>
      <c r="H109"/>
      <c r="I109"/>
      <c r="J109"/>
      <c r="K109" s="158"/>
      <c r="L109" s="158"/>
    </row>
    <row r="110" spans="1:12">
      <c r="A110" s="163"/>
      <c r="B110" s="164"/>
      <c r="C110" s="164"/>
      <c r="D110" s="164"/>
      <c r="E110" s="164"/>
      <c r="F110" s="164"/>
      <c r="G110" s="165"/>
      <c r="H110"/>
      <c r="I110"/>
      <c r="J110"/>
      <c r="K110" s="158"/>
      <c r="L110" s="158"/>
    </row>
    <row r="111" spans="1:12">
      <c r="A111" s="163"/>
      <c r="B111" s="164"/>
      <c r="C111" s="164"/>
      <c r="D111" s="164"/>
      <c r="E111" s="164"/>
      <c r="F111" s="164"/>
      <c r="G111" s="165"/>
      <c r="H111"/>
      <c r="I111"/>
      <c r="J111"/>
      <c r="K111" s="158"/>
      <c r="L111" s="158"/>
    </row>
    <row r="112" spans="1:12">
      <c r="A112" s="163"/>
      <c r="B112" s="164"/>
      <c r="C112" s="164"/>
      <c r="D112" s="164"/>
      <c r="E112" s="164"/>
      <c r="F112" s="164"/>
      <c r="G112" s="165"/>
      <c r="H112"/>
      <c r="I112"/>
      <c r="J112"/>
      <c r="K112" s="158"/>
      <c r="L112" s="158"/>
    </row>
    <row r="113" spans="1:12">
      <c r="A113" s="163"/>
      <c r="B113" s="164"/>
      <c r="C113" s="164"/>
      <c r="D113" s="164"/>
      <c r="E113" s="164"/>
      <c r="F113" s="164"/>
      <c r="G113" s="165"/>
      <c r="H113"/>
      <c r="I113"/>
      <c r="J113"/>
      <c r="K113" s="158"/>
      <c r="L113" s="158"/>
    </row>
    <row r="114" spans="1:12">
      <c r="A114" s="163"/>
      <c r="B114" s="164"/>
      <c r="C114" s="164"/>
      <c r="D114" s="164"/>
      <c r="E114" s="164"/>
      <c r="F114" s="164"/>
      <c r="G114" s="165"/>
      <c r="H114"/>
      <c r="I114"/>
      <c r="J114"/>
      <c r="K114" s="158"/>
      <c r="L114" s="158"/>
    </row>
    <row r="115" spans="1:12">
      <c r="A115" s="163"/>
      <c r="B115" s="164"/>
      <c r="C115" s="164"/>
      <c r="D115" s="164"/>
      <c r="E115" s="164"/>
      <c r="F115" s="164"/>
      <c r="G115" s="165"/>
      <c r="H115"/>
      <c r="I115"/>
      <c r="J115"/>
      <c r="K115" s="158"/>
      <c r="L115" s="158"/>
    </row>
    <row r="116" spans="1:12">
      <c r="A116" s="163"/>
      <c r="B116" s="164"/>
      <c r="C116" s="164"/>
      <c r="D116" s="164"/>
      <c r="E116" s="164"/>
      <c r="F116" s="164"/>
      <c r="G116" s="165"/>
      <c r="H116"/>
      <c r="I116"/>
      <c r="J116"/>
      <c r="K116" s="158"/>
      <c r="L116" s="158"/>
    </row>
    <row r="117" spans="1:12">
      <c r="A117" s="163"/>
      <c r="B117" s="164"/>
      <c r="C117" s="164"/>
      <c r="D117" s="164"/>
      <c r="E117" s="164"/>
      <c r="F117" s="164"/>
      <c r="G117" s="165"/>
      <c r="H117"/>
      <c r="I117"/>
      <c r="J117"/>
      <c r="K117" s="158"/>
      <c r="L117" s="158"/>
    </row>
    <row r="118" spans="1:12">
      <c r="A118" s="163"/>
      <c r="B118" s="164"/>
      <c r="C118" s="164"/>
      <c r="D118" s="164"/>
      <c r="E118" s="164"/>
      <c r="F118" s="164"/>
      <c r="G118" s="165"/>
      <c r="H118"/>
      <c r="I118"/>
      <c r="J118"/>
      <c r="K118" s="158"/>
      <c r="L118" s="158"/>
    </row>
    <row r="119" spans="1:12">
      <c r="A119" s="163"/>
      <c r="B119" s="164"/>
      <c r="C119" s="164"/>
      <c r="D119" s="164"/>
      <c r="E119" s="164"/>
      <c r="F119" s="164"/>
      <c r="G119" s="165"/>
      <c r="H119"/>
      <c r="I119"/>
      <c r="J119"/>
      <c r="K119" s="158"/>
      <c r="L119" s="158"/>
    </row>
    <row r="120" spans="1:12">
      <c r="A120" s="163"/>
      <c r="B120" s="164"/>
      <c r="C120" s="164"/>
      <c r="D120" s="164"/>
      <c r="E120" s="164"/>
      <c r="F120" s="164"/>
      <c r="G120" s="165"/>
      <c r="H120"/>
      <c r="I120"/>
      <c r="J120"/>
      <c r="K120" s="158"/>
      <c r="L120" s="158"/>
    </row>
    <row r="121" spans="1:12" ht="15">
      <c r="A121" s="163"/>
      <c r="B121" s="164"/>
      <c r="C121" s="164"/>
      <c r="D121" s="164"/>
      <c r="E121" s="164"/>
      <c r="F121" s="164"/>
      <c r="G121" s="165"/>
      <c r="H121" s="2"/>
      <c r="I121" s="2" t="s">
        <v>68</v>
      </c>
      <c r="J121" s="2"/>
      <c r="K121" s="158"/>
      <c r="L121" s="158"/>
    </row>
    <row r="122" spans="1:12" ht="15">
      <c r="A122" s="8"/>
      <c r="B122" s="48"/>
      <c r="C122" s="48"/>
      <c r="D122" s="48"/>
      <c r="E122" s="48"/>
      <c r="F122" s="49"/>
      <c r="G122" s="50"/>
      <c r="H122" s="2"/>
      <c r="I122" s="2"/>
      <c r="J122" s="2"/>
      <c r="K122" s="158"/>
      <c r="L122" s="158"/>
    </row>
    <row r="123" spans="1:12" ht="15.75">
      <c r="A123" s="152" t="s">
        <v>17</v>
      </c>
      <c r="B123" s="2"/>
      <c r="C123" s="2"/>
      <c r="D123" s="2"/>
      <c r="E123" s="2"/>
      <c r="F123" s="43"/>
      <c r="H123" s="2"/>
      <c r="I123" s="2"/>
      <c r="J123" s="2"/>
      <c r="K123" s="158"/>
      <c r="L123" s="158"/>
    </row>
    <row r="124" spans="1:12" ht="15">
      <c r="A124" s="160"/>
      <c r="B124" s="161"/>
      <c r="C124" s="161"/>
      <c r="D124" s="161"/>
      <c r="E124" s="161"/>
      <c r="F124" s="161"/>
      <c r="G124" s="162"/>
      <c r="H124" s="2"/>
      <c r="I124" s="2"/>
      <c r="J124" s="2"/>
      <c r="K124" s="158"/>
      <c r="L124" s="158"/>
    </row>
    <row r="125" spans="1:12">
      <c r="A125" s="163"/>
      <c r="B125" s="164"/>
      <c r="C125" s="164"/>
      <c r="D125" s="164"/>
      <c r="E125" s="164"/>
      <c r="F125" s="164"/>
      <c r="G125" s="165"/>
      <c r="H125"/>
      <c r="I125"/>
      <c r="J125"/>
      <c r="K125"/>
      <c r="L125" s="158"/>
    </row>
    <row r="126" spans="1:12">
      <c r="A126" s="163"/>
      <c r="B126" s="164"/>
      <c r="C126" s="164"/>
      <c r="D126" s="164"/>
      <c r="E126" s="164"/>
      <c r="F126" s="164"/>
      <c r="G126" s="165"/>
      <c r="H126"/>
      <c r="I126"/>
      <c r="J126"/>
      <c r="K126"/>
      <c r="L126" s="158"/>
    </row>
    <row r="127" spans="1:12">
      <c r="A127" s="163"/>
      <c r="B127" s="164"/>
      <c r="C127" s="164"/>
      <c r="D127" s="164"/>
      <c r="E127" s="164"/>
      <c r="F127" s="164"/>
      <c r="G127" s="165"/>
      <c r="H127"/>
      <c r="I127"/>
      <c r="J127"/>
      <c r="K127"/>
      <c r="L127" s="158"/>
    </row>
    <row r="128" spans="1:12">
      <c r="A128" s="163"/>
      <c r="B128" s="164"/>
      <c r="C128" s="164"/>
      <c r="D128" s="164"/>
      <c r="E128" s="164"/>
      <c r="F128" s="164"/>
      <c r="G128" s="165"/>
      <c r="H128"/>
      <c r="I128"/>
      <c r="J128"/>
      <c r="K128"/>
      <c r="L128" s="158"/>
    </row>
    <row r="129" spans="1:12">
      <c r="A129" s="163"/>
      <c r="B129" s="164"/>
      <c r="C129" s="164"/>
      <c r="D129" s="164"/>
      <c r="E129" s="164"/>
      <c r="F129" s="164"/>
      <c r="G129" s="165"/>
      <c r="H129"/>
      <c r="I129"/>
      <c r="J129"/>
      <c r="K129"/>
      <c r="L129" s="158"/>
    </row>
    <row r="130" spans="1:12">
      <c r="A130" s="163"/>
      <c r="B130" s="164"/>
      <c r="C130" s="164"/>
      <c r="D130" s="164"/>
      <c r="E130" s="164"/>
      <c r="F130" s="164"/>
      <c r="G130" s="165"/>
      <c r="H130"/>
      <c r="I130"/>
      <c r="J130"/>
      <c r="K130"/>
      <c r="L130" s="158"/>
    </row>
    <row r="131" spans="1:12">
      <c r="A131" s="163"/>
      <c r="B131" s="164"/>
      <c r="C131" s="164"/>
      <c r="D131" s="164"/>
      <c r="E131" s="164"/>
      <c r="F131" s="164"/>
      <c r="G131" s="165"/>
      <c r="H131"/>
      <c r="I131"/>
      <c r="J131"/>
      <c r="K131"/>
      <c r="L131" s="158"/>
    </row>
    <row r="132" spans="1:12">
      <c r="A132" s="163"/>
      <c r="B132" s="164"/>
      <c r="C132" s="164"/>
      <c r="D132" s="164"/>
      <c r="E132" s="164"/>
      <c r="F132" s="164"/>
      <c r="G132" s="165"/>
      <c r="H132"/>
      <c r="I132"/>
      <c r="J132"/>
      <c r="K132"/>
      <c r="L132" s="158"/>
    </row>
    <row r="133" spans="1:12">
      <c r="A133" s="163"/>
      <c r="B133" s="164"/>
      <c r="C133" s="164"/>
      <c r="D133" s="164"/>
      <c r="E133" s="164"/>
      <c r="F133" s="164"/>
      <c r="G133" s="165"/>
      <c r="H133"/>
      <c r="I133"/>
      <c r="J133"/>
      <c r="K133"/>
      <c r="L133" s="158"/>
    </row>
    <row r="134" spans="1:12">
      <c r="A134" s="163"/>
      <c r="B134" s="164"/>
      <c r="C134" s="164"/>
      <c r="D134" s="164"/>
      <c r="E134" s="164"/>
      <c r="F134" s="164"/>
      <c r="G134" s="165"/>
      <c r="H134"/>
      <c r="I134"/>
      <c r="J134"/>
      <c r="K134"/>
      <c r="L134" s="158"/>
    </row>
    <row r="135" spans="1:12">
      <c r="A135" s="163"/>
      <c r="B135" s="164"/>
      <c r="C135" s="164"/>
      <c r="D135" s="164"/>
      <c r="E135" s="164"/>
      <c r="F135" s="164"/>
      <c r="G135" s="165"/>
      <c r="H135"/>
      <c r="I135"/>
      <c r="J135"/>
      <c r="K135"/>
      <c r="L135" s="158"/>
    </row>
    <row r="136" spans="1:12">
      <c r="A136" s="163"/>
      <c r="B136" s="164"/>
      <c r="C136" s="164"/>
      <c r="D136" s="164"/>
      <c r="E136" s="164"/>
      <c r="F136" s="164"/>
      <c r="G136" s="165"/>
      <c r="H136"/>
      <c r="I136"/>
      <c r="J136"/>
      <c r="K136"/>
      <c r="L136" s="158"/>
    </row>
    <row r="137" spans="1:12">
      <c r="A137" s="163"/>
      <c r="B137" s="164"/>
      <c r="C137" s="164"/>
      <c r="D137" s="164"/>
      <c r="E137" s="164"/>
      <c r="F137" s="164"/>
      <c r="G137" s="165"/>
      <c r="H137"/>
      <c r="I137"/>
      <c r="J137"/>
      <c r="K137"/>
      <c r="L137" s="158"/>
    </row>
    <row r="138" spans="1:12">
      <c r="A138" s="163"/>
      <c r="B138" s="164"/>
      <c r="C138" s="164"/>
      <c r="D138" s="164"/>
      <c r="E138" s="164"/>
      <c r="F138" s="164"/>
      <c r="G138" s="165"/>
      <c r="H138"/>
      <c r="I138"/>
      <c r="J138"/>
      <c r="K138"/>
      <c r="L138" s="158"/>
    </row>
    <row r="139" spans="1:12">
      <c r="A139" s="163"/>
      <c r="B139" s="164"/>
      <c r="C139" s="164"/>
      <c r="D139" s="164"/>
      <c r="E139" s="164"/>
      <c r="F139" s="164"/>
      <c r="G139" s="165"/>
      <c r="H139"/>
      <c r="I139"/>
      <c r="J139"/>
      <c r="K139"/>
      <c r="L139" s="158"/>
    </row>
    <row r="140" spans="1:12">
      <c r="A140" s="163"/>
      <c r="B140" s="164"/>
      <c r="C140" s="164"/>
      <c r="D140" s="164"/>
      <c r="E140" s="164"/>
      <c r="F140" s="164"/>
      <c r="G140" s="165"/>
      <c r="H140"/>
      <c r="I140"/>
      <c r="J140"/>
      <c r="K140"/>
      <c r="L140" s="158"/>
    </row>
    <row r="141" spans="1:12">
      <c r="A141" s="163"/>
      <c r="B141" s="164"/>
      <c r="C141" s="164"/>
      <c r="D141" s="164"/>
      <c r="E141" s="164"/>
      <c r="F141" s="164"/>
      <c r="G141" s="165"/>
      <c r="H141"/>
      <c r="I141"/>
      <c r="J141"/>
      <c r="K141"/>
      <c r="L141" s="158"/>
    </row>
    <row r="142" spans="1:12">
      <c r="A142" s="163"/>
      <c r="B142" s="164"/>
      <c r="C142" s="164"/>
      <c r="D142" s="164"/>
      <c r="E142" s="164"/>
      <c r="F142" s="164"/>
      <c r="G142" s="165"/>
      <c r="H142"/>
      <c r="I142"/>
      <c r="J142"/>
      <c r="K142"/>
      <c r="L142" s="158"/>
    </row>
    <row r="143" spans="1:12">
      <c r="A143" s="163"/>
      <c r="B143" s="164"/>
      <c r="C143" s="164"/>
      <c r="D143" s="164"/>
      <c r="E143" s="164"/>
      <c r="F143" s="164"/>
      <c r="G143" s="165"/>
      <c r="H143"/>
      <c r="I143"/>
      <c r="J143"/>
      <c r="K143"/>
      <c r="L143" s="158"/>
    </row>
    <row r="144" spans="1:12">
      <c r="A144" s="163"/>
      <c r="B144" s="164"/>
      <c r="C144" s="164"/>
      <c r="D144" s="164"/>
      <c r="E144" s="164"/>
      <c r="F144" s="164"/>
      <c r="G144" s="165"/>
      <c r="H144"/>
      <c r="I144"/>
      <c r="J144"/>
      <c r="K144"/>
      <c r="L144" s="158"/>
    </row>
    <row r="145" spans="1:12">
      <c r="A145" s="163"/>
      <c r="B145" s="164"/>
      <c r="C145" s="164"/>
      <c r="D145" s="164"/>
      <c r="E145" s="164"/>
      <c r="F145" s="164"/>
      <c r="G145" s="165"/>
      <c r="H145"/>
      <c r="I145"/>
      <c r="J145"/>
      <c r="K145"/>
      <c r="L145" s="158"/>
    </row>
    <row r="146" spans="1:12">
      <c r="A146" s="163"/>
      <c r="B146" s="164"/>
      <c r="C146" s="164"/>
      <c r="D146" s="164"/>
      <c r="E146" s="164"/>
      <c r="F146" s="164"/>
      <c r="G146" s="165"/>
      <c r="H146"/>
      <c r="I146"/>
      <c r="J146"/>
      <c r="K146"/>
      <c r="L146" s="158"/>
    </row>
    <row r="147" spans="1:12" ht="15">
      <c r="A147" s="8"/>
      <c r="B147" s="48"/>
      <c r="C147" s="48"/>
      <c r="D147" s="48"/>
      <c r="E147" s="48"/>
      <c r="F147" s="49"/>
      <c r="G147" s="50"/>
      <c r="H147" s="2"/>
      <c r="I147" s="2"/>
      <c r="J147" s="2"/>
      <c r="K147" s="158"/>
      <c r="L147" s="158"/>
    </row>
    <row r="148" spans="1:12" ht="15.75">
      <c r="A148" s="152" t="s">
        <v>340</v>
      </c>
      <c r="B148" s="2"/>
      <c r="C148" s="2"/>
      <c r="D148" s="2"/>
      <c r="E148" s="2"/>
      <c r="F148" s="43"/>
      <c r="H148" s="2"/>
      <c r="I148" s="2"/>
      <c r="J148" s="2"/>
      <c r="K148" s="158"/>
      <c r="L148" s="158"/>
    </row>
    <row r="149" spans="1:12" ht="15.75">
      <c r="A149" s="152" t="s">
        <v>2</v>
      </c>
      <c r="B149" s="2"/>
      <c r="C149" s="2"/>
      <c r="D149" s="2"/>
      <c r="E149" s="2"/>
      <c r="F149" s="43"/>
      <c r="H149" s="2"/>
      <c r="I149" s="2"/>
      <c r="J149" s="2"/>
      <c r="K149" s="158"/>
      <c r="L149" s="158"/>
    </row>
    <row r="150" spans="1:12" ht="15">
      <c r="A150" s="45"/>
      <c r="B150" s="46"/>
      <c r="C150" s="46"/>
      <c r="D150" s="46"/>
      <c r="E150" s="46"/>
      <c r="F150" s="166"/>
      <c r="G150" s="51"/>
      <c r="H150" s="2"/>
      <c r="I150" s="2"/>
      <c r="J150" s="2"/>
      <c r="K150" s="158"/>
      <c r="L150" s="158"/>
    </row>
    <row r="151" spans="1:12" ht="15">
      <c r="A151" s="163"/>
      <c r="B151" s="164"/>
      <c r="C151" s="164"/>
      <c r="D151" s="164"/>
      <c r="E151" s="164"/>
      <c r="F151" s="164"/>
      <c r="G151" s="165"/>
      <c r="H151" s="2"/>
      <c r="I151" s="2"/>
      <c r="J151" s="2"/>
      <c r="K151" s="158"/>
      <c r="L151" s="158"/>
    </row>
    <row r="152" spans="1:12" ht="15">
      <c r="A152" s="163"/>
      <c r="B152" s="164"/>
      <c r="C152" s="164"/>
      <c r="D152" s="164"/>
      <c r="E152" s="164"/>
      <c r="F152" s="164"/>
      <c r="G152" s="165"/>
      <c r="H152"/>
      <c r="I152" s="2" t="s">
        <v>68</v>
      </c>
      <c r="J152" s="2"/>
      <c r="K152" s="158"/>
      <c r="L152" s="158"/>
    </row>
    <row r="153" spans="1:12">
      <c r="A153" s="163"/>
      <c r="B153" s="164"/>
      <c r="C153" s="164"/>
      <c r="D153" s="164"/>
      <c r="E153" s="164"/>
      <c r="F153" s="164"/>
      <c r="G153" s="165"/>
      <c r="H153"/>
      <c r="I153"/>
      <c r="J153"/>
      <c r="K153"/>
      <c r="L153"/>
    </row>
    <row r="154" spans="1:12">
      <c r="A154" s="163"/>
      <c r="B154" s="164"/>
      <c r="C154" s="164"/>
      <c r="D154" s="164"/>
      <c r="E154" s="164"/>
      <c r="F154" s="164"/>
      <c r="G154" s="165"/>
      <c r="H154"/>
      <c r="I154"/>
      <c r="J154"/>
      <c r="K154"/>
      <c r="L154"/>
    </row>
    <row r="155" spans="1:12">
      <c r="A155" s="163"/>
      <c r="B155" s="164"/>
      <c r="C155" s="164"/>
      <c r="D155" s="164"/>
      <c r="E155" s="164"/>
      <c r="F155" s="164"/>
      <c r="G155" s="165"/>
      <c r="H155"/>
      <c r="I155"/>
      <c r="J155"/>
      <c r="K155"/>
      <c r="L155"/>
    </row>
    <row r="156" spans="1:12">
      <c r="A156" s="163"/>
      <c r="B156" s="164"/>
      <c r="C156" s="164"/>
      <c r="D156" s="164"/>
      <c r="E156" s="164"/>
      <c r="F156" s="164"/>
      <c r="G156" s="165"/>
      <c r="H156"/>
      <c r="I156"/>
      <c r="J156"/>
      <c r="K156"/>
      <c r="L156"/>
    </row>
    <row r="157" spans="1:12">
      <c r="A157" s="163"/>
      <c r="B157" s="164"/>
      <c r="C157" s="164"/>
      <c r="D157" s="164"/>
      <c r="E157" s="164"/>
      <c r="F157" s="164"/>
      <c r="G157" s="165"/>
      <c r="H157"/>
      <c r="I157"/>
      <c r="J157"/>
      <c r="K157"/>
      <c r="L157"/>
    </row>
    <row r="158" spans="1:12">
      <c r="A158" s="163"/>
      <c r="B158" s="164"/>
      <c r="C158" s="164"/>
      <c r="D158" s="164"/>
      <c r="E158" s="164"/>
      <c r="F158" s="164"/>
      <c r="G158" s="165"/>
      <c r="H158"/>
      <c r="I158"/>
      <c r="J158"/>
      <c r="K158"/>
      <c r="L158"/>
    </row>
    <row r="159" spans="1:12">
      <c r="A159" s="163"/>
      <c r="B159" s="164"/>
      <c r="C159" s="164"/>
      <c r="D159" s="164"/>
      <c r="E159" s="164"/>
      <c r="F159" s="164"/>
      <c r="G159" s="165"/>
      <c r="H159"/>
      <c r="I159"/>
      <c r="J159"/>
      <c r="K159"/>
      <c r="L159"/>
    </row>
    <row r="160" spans="1:12">
      <c r="A160" s="163"/>
      <c r="B160" s="164"/>
      <c r="C160" s="164"/>
      <c r="D160" s="164"/>
      <c r="E160" s="164"/>
      <c r="F160" s="164"/>
      <c r="G160" s="165"/>
      <c r="H160"/>
      <c r="I160"/>
      <c r="J160"/>
      <c r="K160"/>
      <c r="L160"/>
    </row>
    <row r="161" spans="1:12">
      <c r="A161" s="163"/>
      <c r="B161" s="164"/>
      <c r="C161" s="164"/>
      <c r="D161" s="164"/>
      <c r="E161" s="164"/>
      <c r="F161" s="164"/>
      <c r="G161" s="165"/>
      <c r="H161"/>
      <c r="I161"/>
      <c r="J161"/>
      <c r="K161"/>
      <c r="L161"/>
    </row>
    <row r="162" spans="1:12">
      <c r="A162" s="163"/>
      <c r="B162" s="164"/>
      <c r="C162" s="164"/>
      <c r="D162" s="164"/>
      <c r="E162" s="164"/>
      <c r="F162" s="164"/>
      <c r="G162" s="165"/>
      <c r="H162"/>
      <c r="I162"/>
      <c r="J162"/>
      <c r="K162"/>
      <c r="L162"/>
    </row>
    <row r="163" spans="1:12">
      <c r="A163" s="163"/>
      <c r="B163" s="164"/>
      <c r="C163" s="164"/>
      <c r="D163" s="164"/>
      <c r="E163" s="164"/>
      <c r="F163" s="164"/>
      <c r="G163" s="165"/>
      <c r="H163"/>
      <c r="I163"/>
      <c r="J163"/>
      <c r="K163"/>
      <c r="L163"/>
    </row>
    <row r="164" spans="1:12">
      <c r="A164" s="163"/>
      <c r="B164" s="164"/>
      <c r="C164" s="164"/>
      <c r="D164" s="164"/>
      <c r="E164" s="164"/>
      <c r="F164" s="164"/>
      <c r="G164" s="165"/>
      <c r="H164"/>
      <c r="I164"/>
      <c r="J164"/>
      <c r="K164"/>
      <c r="L164"/>
    </row>
    <row r="165" spans="1:12">
      <c r="A165" s="163"/>
      <c r="B165" s="164"/>
      <c r="C165" s="164"/>
      <c r="D165" s="164"/>
      <c r="E165" s="164"/>
      <c r="F165" s="164"/>
      <c r="G165" s="165"/>
      <c r="H165"/>
      <c r="I165"/>
      <c r="J165"/>
      <c r="K165"/>
      <c r="L165"/>
    </row>
    <row r="166" spans="1:12">
      <c r="A166" s="163"/>
      <c r="B166" s="164"/>
      <c r="C166" s="164"/>
      <c r="D166" s="164"/>
      <c r="E166" s="164"/>
      <c r="F166" s="164"/>
      <c r="G166" s="165"/>
      <c r="H166"/>
      <c r="I166"/>
      <c r="J166"/>
      <c r="K166"/>
      <c r="L166"/>
    </row>
    <row r="167" spans="1:12">
      <c r="A167" s="163"/>
      <c r="B167" s="164"/>
      <c r="C167" s="164"/>
      <c r="D167" s="164"/>
      <c r="E167" s="164"/>
      <c r="F167" s="164"/>
      <c r="G167" s="165"/>
      <c r="H167"/>
      <c r="I167"/>
      <c r="J167"/>
      <c r="K167"/>
      <c r="L167"/>
    </row>
    <row r="168" spans="1:12">
      <c r="A168" s="163"/>
      <c r="B168" s="164"/>
      <c r="C168" s="164"/>
      <c r="D168" s="164"/>
      <c r="E168" s="164"/>
      <c r="F168" s="164"/>
      <c r="G168" s="165"/>
      <c r="H168"/>
      <c r="I168"/>
      <c r="J168"/>
      <c r="K168"/>
      <c r="L168"/>
    </row>
    <row r="169" spans="1:12">
      <c r="A169" s="163"/>
      <c r="B169" s="164"/>
      <c r="C169" s="164"/>
      <c r="D169" s="164"/>
      <c r="E169" s="164"/>
      <c r="F169" s="164"/>
      <c r="G169" s="165"/>
      <c r="H169"/>
      <c r="I169"/>
      <c r="J169"/>
      <c r="K169"/>
      <c r="L169"/>
    </row>
    <row r="170" spans="1:12">
      <c r="A170" s="163"/>
      <c r="B170" s="164"/>
      <c r="C170" s="164"/>
      <c r="D170" s="164"/>
      <c r="E170" s="164"/>
      <c r="F170" s="164"/>
      <c r="G170" s="165"/>
      <c r="H170"/>
      <c r="I170"/>
      <c r="J170"/>
      <c r="K170"/>
      <c r="L170"/>
    </row>
    <row r="171" spans="1:12">
      <c r="A171" s="163"/>
      <c r="B171" s="164"/>
      <c r="C171" s="164"/>
      <c r="D171" s="164"/>
      <c r="E171" s="164"/>
      <c r="F171" s="164"/>
      <c r="G171" s="165"/>
      <c r="H171"/>
      <c r="I171"/>
      <c r="J171"/>
      <c r="K171"/>
      <c r="L171"/>
    </row>
    <row r="172" spans="1:12">
      <c r="A172" s="163"/>
      <c r="B172" s="164"/>
      <c r="C172" s="164"/>
      <c r="D172" s="164"/>
      <c r="E172" s="164"/>
      <c r="F172" s="164"/>
      <c r="G172" s="165"/>
      <c r="H172"/>
      <c r="I172"/>
      <c r="J172"/>
      <c r="K172"/>
      <c r="L172"/>
    </row>
    <row r="173" spans="1:12">
      <c r="A173" s="163"/>
      <c r="B173" s="164"/>
      <c r="C173" s="164"/>
      <c r="D173" s="164"/>
      <c r="E173" s="164"/>
      <c r="F173" s="164"/>
      <c r="G173" s="165"/>
      <c r="H173"/>
      <c r="I173"/>
      <c r="J173"/>
      <c r="K173"/>
      <c r="L173"/>
    </row>
    <row r="174" spans="1:12">
      <c r="A174" s="163"/>
      <c r="B174" s="164"/>
      <c r="C174" s="164"/>
      <c r="D174" s="164"/>
      <c r="E174" s="164"/>
      <c r="F174" s="164"/>
      <c r="G174" s="165"/>
      <c r="H174"/>
      <c r="I174"/>
      <c r="J174"/>
      <c r="K174"/>
      <c r="L174"/>
    </row>
    <row r="175" spans="1:12">
      <c r="A175" s="163"/>
      <c r="B175" s="164"/>
      <c r="C175" s="164"/>
      <c r="D175" s="164"/>
      <c r="E175" s="164"/>
      <c r="F175" s="164"/>
      <c r="G175" s="165"/>
      <c r="H175"/>
      <c r="I175"/>
      <c r="J175"/>
      <c r="K175"/>
      <c r="L175"/>
    </row>
    <row r="176" spans="1:12">
      <c r="A176" s="163"/>
      <c r="B176" s="164"/>
      <c r="C176" s="164"/>
      <c r="D176" s="164"/>
      <c r="E176" s="164"/>
      <c r="F176" s="164"/>
      <c r="G176" s="165"/>
      <c r="H176"/>
      <c r="I176"/>
      <c r="J176"/>
      <c r="K176"/>
      <c r="L176"/>
    </row>
    <row r="177" spans="1:12">
      <c r="A177" s="163"/>
      <c r="B177" s="164"/>
      <c r="C177" s="164"/>
      <c r="D177" s="164"/>
      <c r="E177" s="164"/>
      <c r="F177" s="164"/>
      <c r="G177" s="165"/>
      <c r="H177"/>
      <c r="I177"/>
      <c r="J177"/>
      <c r="K177"/>
      <c r="L177"/>
    </row>
    <row r="178" spans="1:12">
      <c r="A178" s="163"/>
      <c r="B178" s="164"/>
      <c r="C178" s="164"/>
      <c r="D178" s="164"/>
      <c r="E178" s="164"/>
      <c r="F178" s="164"/>
      <c r="G178" s="165"/>
      <c r="H178"/>
      <c r="I178"/>
      <c r="J178"/>
      <c r="K178"/>
      <c r="L178"/>
    </row>
    <row r="179" spans="1:12">
      <c r="A179" s="163"/>
      <c r="B179" s="164"/>
      <c r="C179" s="164"/>
      <c r="D179" s="164"/>
      <c r="E179" s="164"/>
      <c r="F179" s="164"/>
      <c r="G179" s="165"/>
      <c r="H179"/>
      <c r="I179"/>
      <c r="J179"/>
      <c r="K179"/>
      <c r="L179"/>
    </row>
    <row r="180" spans="1:12" ht="15">
      <c r="A180" s="12"/>
      <c r="B180" s="11"/>
      <c r="C180" s="11"/>
      <c r="D180" s="11"/>
      <c r="E180" s="11"/>
      <c r="F180" s="52"/>
      <c r="G180" s="47"/>
      <c r="H180"/>
      <c r="I180"/>
      <c r="J180"/>
      <c r="K180"/>
      <c r="L180"/>
    </row>
    <row r="181" spans="1:12">
      <c r="A181" s="155"/>
      <c r="B181" s="52"/>
      <c r="C181" s="52"/>
      <c r="D181" s="52"/>
      <c r="E181" s="52"/>
      <c r="F181" s="52"/>
      <c r="G181" s="47"/>
      <c r="H181"/>
      <c r="I181"/>
      <c r="J181"/>
      <c r="K181"/>
      <c r="L181"/>
    </row>
    <row r="182" spans="1:12">
      <c r="A182" s="155"/>
      <c r="B182" s="52"/>
      <c r="C182" s="52"/>
      <c r="D182" s="52"/>
      <c r="E182" s="52"/>
      <c r="F182" s="52"/>
      <c r="G182" s="47"/>
      <c r="H182"/>
      <c r="I182"/>
      <c r="J182"/>
      <c r="K182"/>
      <c r="L182"/>
    </row>
    <row r="183" spans="1:12">
      <c r="A183" s="155"/>
      <c r="B183" s="52"/>
      <c r="C183" s="52"/>
      <c r="D183" s="52"/>
      <c r="E183" s="52"/>
      <c r="F183" s="52"/>
      <c r="G183" s="47"/>
      <c r="H183"/>
      <c r="I183"/>
      <c r="J183"/>
      <c r="K183"/>
      <c r="L183"/>
    </row>
    <row r="184" spans="1:12" ht="15">
      <c r="A184" s="155"/>
      <c r="B184" s="52"/>
      <c r="C184" s="52"/>
      <c r="D184" s="52"/>
      <c r="E184" s="52"/>
      <c r="F184" s="52"/>
      <c r="G184" s="47"/>
      <c r="H184" s="2"/>
      <c r="I184" s="2"/>
      <c r="J184" s="2"/>
      <c r="K184" s="2"/>
      <c r="L184" s="2"/>
    </row>
    <row r="185" spans="1:12" ht="15">
      <c r="A185" s="155"/>
      <c r="B185" s="52"/>
      <c r="C185" s="52"/>
      <c r="D185" s="52"/>
      <c r="E185" s="52"/>
      <c r="F185" s="52"/>
      <c r="G185" s="47"/>
      <c r="H185" s="2"/>
      <c r="I185" s="2"/>
      <c r="J185" s="2"/>
      <c r="K185" s="2"/>
      <c r="L185" s="2"/>
    </row>
    <row r="186" spans="1:12">
      <c r="A186" s="155"/>
      <c r="B186" s="52"/>
      <c r="C186" s="52"/>
      <c r="D186" s="52"/>
      <c r="E186" s="52"/>
      <c r="F186" s="52"/>
      <c r="G186" s="47"/>
    </row>
    <row r="187" spans="1:12">
      <c r="A187" s="155"/>
      <c r="B187" s="52"/>
      <c r="C187" s="52"/>
      <c r="D187" s="52"/>
      <c r="E187" s="52"/>
      <c r="F187" s="52"/>
      <c r="G187" s="47"/>
    </row>
    <row r="188" spans="1:12">
      <c r="A188" s="156"/>
      <c r="B188" s="167"/>
      <c r="C188" s="167"/>
      <c r="D188" s="167"/>
      <c r="E188" s="167"/>
      <c r="F188" s="167"/>
      <c r="G188" s="50"/>
    </row>
  </sheetData>
  <phoneticPr fontId="16" type="noConversion"/>
  <printOptions headings="1" gridLines="1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THIS FIRST</vt:lpstr>
      <vt:lpstr>IS-BS Model</vt:lpstr>
      <vt:lpstr>Flow Diagram</vt:lpstr>
      <vt:lpstr>WK4 LTAC ANALYSIS</vt:lpstr>
      <vt:lpstr>Debt vs Equity Financing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Suthar Computer</cp:lastModifiedBy>
  <dcterms:created xsi:type="dcterms:W3CDTF">2012-04-16T00:23:08Z</dcterms:created>
  <dcterms:modified xsi:type="dcterms:W3CDTF">2014-04-22T09:05:42Z</dcterms:modified>
</cp:coreProperties>
</file>